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4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5.xml" ContentType="application/vnd.openxmlformats-officedocument.spreadsheetml.comments+xml"/>
  <Override PartName="/xl/comments10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https://kalakukkory.sharepoint.com/sites/Tiedostot/Jaetut asiakirjat/OHJELMAKAUSI 2021-2027/Yritystuet/"/>
    </mc:Choice>
  </mc:AlternateContent>
  <xr:revisionPtr revIDLastSave="0" documentId="8_{F3C4EE3F-2E4D-4689-87E8-A133239C2166}" xr6:coauthVersionLast="47" xr6:coauthVersionMax="47" xr10:uidLastSave="{00000000-0000-0000-0000-000000000000}"/>
  <workbookProtection workbookAlgorithmName="SHA-512" workbookHashValue="FuhzlPs7w1SqmOsP76FFrOemRJcsXVpLlf9IYKk+/MJ1XQNZ+FQg3OypDf5yUj+fhbWlkwDt2d2Qz8kEQUsmpw==" workbookSaltValue="iKfj+wxO00oDiTAJ4GjbKg==" workbookSpinCount="100000" lockStructure="1"/>
  <bookViews>
    <workbookView xWindow="22932" yWindow="-108" windowWidth="23256" windowHeight="12456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3. T3 TASE " sheetId="32" r:id="rId4"/>
    <sheet name="Kaavio" sheetId="34" state="hidden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" sheetId="30" r:id="rId10"/>
    <sheet name="AT T5 Kassa" sheetId="33" state="hidden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INVESTOINTISUUN.'!$B$3:$T$65</definedName>
    <definedName name="_xlnm.Print_Area" localSheetId="2">'2. &amp; 7. T2 TULOSSUUN. '!$B$2:$AF$36</definedName>
    <definedName name="_xlnm.Print_Area" localSheetId="3">'3. T3 TASE '!$B$2:$U$101</definedName>
    <definedName name="_xlnm.Print_Area" localSheetId="5">'4. T7 LAINAT '!$B$2:$Q$52</definedName>
    <definedName name="_xlnm.Print_Area" localSheetId="6">'5. E1 KUSTANNUKSET '!$B$2:$AB$127</definedName>
    <definedName name="_xlnm.Print_Area" localSheetId="7">'6. E2 LIIKEVAIHTO '!$B$2:$U$86</definedName>
    <definedName name="_xlnm.Print_Area" localSheetId="8">'8. T4 RAHOITUSSUUN. '!$B$2:$U$64</definedName>
    <definedName name="_xlnm.Print_Area" localSheetId="9">'9. T5 KASSABUDJETTI '!$B$5:$S$99</definedName>
    <definedName name="_xlnm.Print_Area" localSheetId="0">OHJE!$A$1:$G$23</definedName>
    <definedName name="_xlnm.Print_Area" localSheetId="11">Tulostussivu!$B$2:$AY$81</definedName>
    <definedName name="_xlnm.Print_Titles" localSheetId="3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INVESTOINTISUUN.'!$B$3:$T$66</definedName>
    <definedName name="YT" localSheetId="2">'2. &amp; 7. T2 TULOSSUUN. '!$B$1:$AF$37</definedName>
    <definedName name="YT" localSheetId="3">'3. T3 TASE '!$B$2:$U$102</definedName>
    <definedName name="YT" localSheetId="5">'4. T7 LAINAT '!$B$2:$Q$52</definedName>
    <definedName name="YT" localSheetId="6">'5. E1 KUSTANNUKSET '!$B$2:$AB$127</definedName>
    <definedName name="YT" localSheetId="7">'6. E2 LIIKEVAIHTO '!$B$2:$U$86</definedName>
    <definedName name="YT" localSheetId="8">'8. T4 RAHOITUSSUUN. '!$B$2:$U$65</definedName>
    <definedName name="YT" localSheetId="9">'9. T5 KASSABUDJETTI '!$B$5:$AN$99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6" i="1" l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8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4" i="26"/>
  <c r="O57" i="30"/>
  <c r="I63" i="27"/>
  <c r="F85" i="2"/>
  <c r="I126" i="1"/>
  <c r="N51" i="28"/>
  <c r="I100" i="32"/>
  <c r="M35" i="20"/>
  <c r="I43" i="35" l="1"/>
  <c r="K20" i="2" l="1"/>
  <c r="L20" i="2" s="1"/>
  <c r="M20" i="2" s="1"/>
  <c r="K27" i="2"/>
  <c r="L27" i="2" s="1"/>
  <c r="M27" i="2" s="1"/>
  <c r="U50" i="30" l="1"/>
  <c r="E26" i="2" l="1"/>
  <c r="E12" i="2"/>
  <c r="B5" i="20"/>
  <c r="G33" i="20" l="1"/>
  <c r="AK54" i="35"/>
  <c r="J20" i="1"/>
  <c r="L20" i="1" s="1"/>
  <c r="L21" i="1"/>
  <c r="I12" i="20" l="1"/>
  <c r="M75" i="32"/>
  <c r="M74" i="32"/>
  <c r="M78" i="32"/>
  <c r="I33" i="20"/>
  <c r="K33" i="20" s="1"/>
  <c r="M33" i="20" s="1"/>
  <c r="O33" i="20" s="1"/>
  <c r="K13" i="2"/>
  <c r="L13" i="2" s="1"/>
  <c r="M13" i="2" s="1"/>
  <c r="E19" i="2"/>
  <c r="H26" i="1"/>
  <c r="J26" i="1" s="1"/>
  <c r="L26" i="1" s="1"/>
  <c r="AP66" i="35"/>
  <c r="C46" i="28" l="1"/>
  <c r="AQ24" i="30" l="1"/>
  <c r="AO24" i="30"/>
  <c r="AJ25" i="30"/>
  <c r="AJ24" i="30"/>
  <c r="AH24" i="30"/>
  <c r="AC24" i="30"/>
  <c r="AA24" i="30"/>
  <c r="AS23" i="30"/>
  <c r="AV23" i="30" s="1"/>
  <c r="AR23" i="30"/>
  <c r="AK23" i="30"/>
  <c r="H22" i="1"/>
  <c r="AH25" i="30" s="1"/>
  <c r="F17" i="1"/>
  <c r="AG24" i="30" l="1"/>
  <c r="Q87" i="27"/>
  <c r="P87" i="27"/>
  <c r="AI24" i="30" l="1"/>
  <c r="U48" i="30"/>
  <c r="H29" i="1"/>
  <c r="AQ25" i="30" s="1"/>
  <c r="J23" i="1"/>
  <c r="L23" i="1" s="1"/>
  <c r="AK24" i="30" l="1"/>
  <c r="AL24" i="30"/>
  <c r="AM24" i="30" s="1"/>
  <c r="J16" i="1"/>
  <c r="L16" i="1" s="1"/>
  <c r="AC25" i="30"/>
  <c r="J29" i="1"/>
  <c r="L29" i="1" s="1"/>
  <c r="F47" i="1" l="1"/>
  <c r="F48" i="1"/>
  <c r="AT13" i="35" l="1"/>
  <c r="E40" i="2" l="1"/>
  <c r="H90" i="32"/>
  <c r="H78" i="32"/>
  <c r="H74" i="32"/>
  <c r="H65" i="32"/>
  <c r="I72" i="32"/>
  <c r="H72" i="32"/>
  <c r="H69" i="32"/>
  <c r="H32" i="27" s="1"/>
  <c r="C47" i="28" l="1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F49" i="27"/>
  <c r="F50" i="27" s="1"/>
  <c r="E75" i="2" l="1"/>
  <c r="F24" i="28" l="1"/>
  <c r="F41" i="28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2" i="2" l="1"/>
  <c r="K19" i="2"/>
  <c r="K33" i="2"/>
  <c r="L33" i="2" s="1"/>
  <c r="M33" i="2" s="1"/>
  <c r="K26" i="2"/>
  <c r="L26" i="2" l="1"/>
  <c r="M26" i="2" s="1"/>
  <c r="F26" i="2"/>
  <c r="L19" i="2"/>
  <c r="M19" i="2" s="1"/>
  <c r="F19" i="2"/>
  <c r="G19" i="2" s="1"/>
  <c r="H19" i="2" s="1"/>
  <c r="L12" i="2"/>
  <c r="M12" i="2" s="1"/>
  <c r="F12" i="2"/>
  <c r="G12" i="2" s="1"/>
  <c r="H12" i="2" s="1"/>
  <c r="L41" i="35"/>
  <c r="G26" i="2" l="1"/>
  <c r="H26" i="2" s="1"/>
  <c r="G11" i="32"/>
  <c r="F5" i="28"/>
  <c r="B5" i="28"/>
  <c r="AT14" i="35" l="1"/>
  <c r="AY82" i="35" l="1"/>
  <c r="AE5" i="35" l="1"/>
  <c r="AU5" i="35"/>
  <c r="AT5" i="35" s="1"/>
  <c r="AR8" i="35"/>
  <c r="F19" i="28" l="1"/>
  <c r="AE38" i="35" s="1"/>
  <c r="C19" i="28"/>
  <c r="AB38" i="35" s="1"/>
  <c r="M47" i="35" l="1"/>
  <c r="M45" i="35"/>
  <c r="M43" i="35"/>
  <c r="M41" i="35"/>
  <c r="M40" i="35"/>
  <c r="L47" i="35"/>
  <c r="L45" i="35"/>
  <c r="L43" i="35"/>
  <c r="K45" i="35"/>
  <c r="K43" i="35"/>
  <c r="K41" i="35"/>
  <c r="AD68" i="35" l="1"/>
  <c r="AB68" i="35"/>
  <c r="AC63" i="35"/>
  <c r="AD63" i="35"/>
  <c r="AB63" i="35"/>
  <c r="AC35" i="35"/>
  <c r="AA28" i="35"/>
  <c r="K40" i="2" l="1"/>
  <c r="L40" i="2" s="1"/>
  <c r="M40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F5" i="2"/>
  <c r="E3" i="2"/>
  <c r="K5" i="1"/>
  <c r="O5" i="28"/>
  <c r="J5" i="28"/>
  <c r="B5" i="32"/>
  <c r="H8" i="32"/>
  <c r="B8" i="32"/>
  <c r="O5" i="20"/>
  <c r="G5" i="20"/>
  <c r="D16" i="22" l="1"/>
  <c r="E16" i="22"/>
  <c r="F16" i="22"/>
  <c r="C16" i="22"/>
  <c r="P120" i="1" l="1"/>
  <c r="F59" i="1" l="1"/>
  <c r="D79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80" i="2"/>
  <c r="L123" i="1" l="1"/>
  <c r="G32" i="30" l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B31" i="22" l="1"/>
  <c r="D31" i="22" l="1"/>
  <c r="E31" i="22"/>
  <c r="F31" i="22"/>
  <c r="C31" i="22"/>
  <c r="F119" i="1" l="1"/>
  <c r="U40" i="30" s="1"/>
  <c r="F120" i="1"/>
  <c r="H119" i="1" l="1"/>
  <c r="O119" i="1"/>
  <c r="I30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0" i="30" l="1"/>
  <c r="K40" i="30"/>
  <c r="M40" i="30"/>
  <c r="G40" i="30"/>
  <c r="O40" i="30"/>
  <c r="P40" i="30"/>
  <c r="R40" i="30"/>
  <c r="H40" i="30"/>
  <c r="N40" i="30"/>
  <c r="J40" i="30"/>
  <c r="L40" i="30"/>
  <c r="I40" i="30"/>
  <c r="R22" i="29"/>
  <c r="Q22" i="29"/>
  <c r="R23" i="29"/>
  <c r="Q23" i="29"/>
  <c r="P22" i="29"/>
  <c r="P23" i="29"/>
  <c r="O37" i="28"/>
  <c r="AN57" i="35" s="1"/>
  <c r="S40" i="30" l="1"/>
  <c r="T40" i="30" s="1"/>
  <c r="S23" i="29"/>
  <c r="T22" i="29"/>
  <c r="S22" i="29"/>
  <c r="T23" i="29"/>
  <c r="A26" i="29" l="1"/>
  <c r="L40" i="29" l="1"/>
  <c r="I74" i="32"/>
  <c r="K47" i="28"/>
  <c r="AJ69" i="35" s="1"/>
  <c r="N47" i="28" l="1"/>
  <c r="AM69" i="35" s="1"/>
  <c r="H57" i="26"/>
  <c r="D29" i="22"/>
  <c r="E29" i="22"/>
  <c r="F29" i="22"/>
  <c r="C29" i="22"/>
  <c r="Q47" i="28" l="1"/>
  <c r="AP69" i="35" s="1"/>
  <c r="H61" i="32"/>
  <c r="I61" i="32" s="1"/>
  <c r="I31" i="27" s="1"/>
  <c r="K47" i="35"/>
  <c r="I41" i="35"/>
  <c r="I45" i="35"/>
  <c r="I47" i="35"/>
  <c r="I40" i="35"/>
  <c r="H31" i="27" l="1"/>
  <c r="M70" i="32"/>
  <c r="I78" i="32"/>
  <c r="J61" i="32" l="1"/>
  <c r="J31" i="27" s="1"/>
  <c r="I69" i="32"/>
  <c r="J78" i="32"/>
  <c r="K78" i="32" s="1"/>
  <c r="E45" i="35"/>
  <c r="F45" i="35"/>
  <c r="G45" i="35"/>
  <c r="D45" i="35"/>
  <c r="C44" i="35"/>
  <c r="J69" i="32" l="1"/>
  <c r="I32" i="27"/>
  <c r="K69" i="32"/>
  <c r="K32" i="27" s="1"/>
  <c r="J32" i="27"/>
  <c r="K61" i="32"/>
  <c r="K31" i="27" s="1"/>
  <c r="J74" i="32"/>
  <c r="J72" i="32"/>
  <c r="J30" i="22"/>
  <c r="I30" i="22"/>
  <c r="K72" i="32" l="1"/>
  <c r="M72" i="32" s="1"/>
  <c r="K74" i="32"/>
  <c r="H33" i="27"/>
  <c r="I33" i="27" l="1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34" i="2"/>
  <c r="L34" i="2" s="1"/>
  <c r="M34" i="2" s="1"/>
  <c r="E33" i="2"/>
  <c r="F33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6" i="26"/>
  <c r="H45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I8" i="20"/>
  <c r="B94" i="29" s="1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4" i="30" l="1"/>
  <c r="AD8" i="29"/>
  <c r="AK36" i="35"/>
  <c r="AD11" i="29"/>
  <c r="AD12" i="29"/>
  <c r="AN34" i="35"/>
  <c r="AD7" i="29"/>
  <c r="AN29" i="35"/>
  <c r="AN36" i="35" s="1"/>
  <c r="AD13" i="29"/>
  <c r="B58" i="30"/>
  <c r="R64" i="27"/>
  <c r="B64" i="27"/>
  <c r="B52" i="28"/>
  <c r="B127" i="1"/>
  <c r="B65" i="26"/>
  <c r="AB24" i="30" l="1"/>
  <c r="AF24" i="30"/>
  <c r="AD24" i="30"/>
  <c r="E19" i="35"/>
  <c r="F19" i="35"/>
  <c r="G19" i="35"/>
  <c r="D19" i="35"/>
  <c r="K17" i="28" l="1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H17" i="28"/>
  <c r="AG35" i="35" s="1"/>
  <c r="H16" i="28"/>
  <c r="AG34" i="35" s="1"/>
  <c r="H15" i="28"/>
  <c r="AG33" i="35" s="1"/>
  <c r="H14" i="28"/>
  <c r="AG32" i="35" s="1"/>
  <c r="H13" i="28"/>
  <c r="AG31" i="35" s="1"/>
  <c r="H12" i="28"/>
  <c r="AG30" i="35" s="1"/>
  <c r="H11" i="28"/>
  <c r="AG29" i="35" s="1"/>
  <c r="AG36" i="35" l="1"/>
  <c r="Y27" i="29"/>
  <c r="F121" i="1" l="1"/>
  <c r="W39" i="35" l="1"/>
  <c r="X39" i="35"/>
  <c r="Y39" i="35"/>
  <c r="R39" i="35"/>
  <c r="K57" i="32" l="1"/>
  <c r="V66" i="35" l="1"/>
  <c r="W66" i="35" l="1"/>
  <c r="G50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0" i="26" l="1"/>
  <c r="F75" i="35" l="1"/>
  <c r="E86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3" i="35"/>
  <c r="D73" i="35"/>
  <c r="N72" i="35"/>
  <c r="L72" i="35"/>
  <c r="J72" i="35"/>
  <c r="H72" i="35"/>
  <c r="F72" i="35"/>
  <c r="D72" i="35"/>
  <c r="K8" i="20" l="1"/>
  <c r="R199" i="35"/>
  <c r="M8" i="20" l="1"/>
  <c r="D94" i="29"/>
  <c r="V68" i="35"/>
  <c r="W68" i="35"/>
  <c r="X68" i="35"/>
  <c r="Y68" i="35"/>
  <c r="O8" i="20" l="1"/>
  <c r="H94" i="29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3" i="35"/>
  <c r="H53" i="35"/>
  <c r="J53" i="35"/>
  <c r="L53" i="35"/>
  <c r="N53" i="35"/>
  <c r="D53" i="35"/>
  <c r="F51" i="35"/>
  <c r="H51" i="35"/>
  <c r="J51" i="35"/>
  <c r="L51" i="35"/>
  <c r="N51" i="35"/>
  <c r="D51" i="35"/>
  <c r="D15" i="35"/>
  <c r="D33" i="35" s="1"/>
  <c r="D75" i="35"/>
  <c r="O72" i="35"/>
  <c r="N56" i="35"/>
  <c r="N66" i="35"/>
  <c r="N67" i="35"/>
  <c r="M72" i="35"/>
  <c r="L56" i="35"/>
  <c r="L66" i="35"/>
  <c r="L67" i="35"/>
  <c r="K72" i="35"/>
  <c r="J56" i="35"/>
  <c r="J66" i="35"/>
  <c r="J67" i="35"/>
  <c r="I72" i="35"/>
  <c r="H56" i="35"/>
  <c r="H66" i="35"/>
  <c r="H67" i="35"/>
  <c r="G72" i="35"/>
  <c r="F55" i="35"/>
  <c r="F56" i="35"/>
  <c r="F58" i="35"/>
  <c r="F59" i="35"/>
  <c r="F60" i="35"/>
  <c r="F61" i="35"/>
  <c r="F62" i="35"/>
  <c r="F64" i="35"/>
  <c r="F66" i="35"/>
  <c r="F67" i="35"/>
  <c r="F68" i="35"/>
  <c r="F71" i="35"/>
  <c r="F54" i="35"/>
  <c r="E72" i="35"/>
  <c r="D55" i="35"/>
  <c r="D56" i="35"/>
  <c r="D58" i="35"/>
  <c r="D59" i="35"/>
  <c r="D60" i="35"/>
  <c r="D61" i="35"/>
  <c r="D62" i="35"/>
  <c r="D64" i="35"/>
  <c r="D66" i="35"/>
  <c r="D67" i="35"/>
  <c r="D68" i="35"/>
  <c r="D71" i="35"/>
  <c r="D54" i="35"/>
  <c r="E36" i="35"/>
  <c r="F36" i="35"/>
  <c r="G36" i="35"/>
  <c r="E37" i="35"/>
  <c r="F37" i="35"/>
  <c r="G37" i="35"/>
  <c r="E39" i="35"/>
  <c r="F39" i="35"/>
  <c r="G39" i="35"/>
  <c r="E40" i="35"/>
  <c r="F40" i="35"/>
  <c r="G40" i="35"/>
  <c r="E42" i="35"/>
  <c r="F42" i="35"/>
  <c r="G42" i="35"/>
  <c r="E43" i="35"/>
  <c r="F43" i="35"/>
  <c r="G43" i="35"/>
  <c r="E44" i="35"/>
  <c r="F44" i="35"/>
  <c r="G44" i="35"/>
  <c r="D44" i="35"/>
  <c r="D43" i="35"/>
  <c r="D42" i="35"/>
  <c r="D40" i="35"/>
  <c r="D39" i="35"/>
  <c r="D37" i="35"/>
  <c r="D36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U25" i="35" l="1"/>
  <c r="H23" i="35"/>
  <c r="H28" i="35"/>
  <c r="H26" i="35"/>
  <c r="H20" i="35"/>
  <c r="H18" i="35"/>
  <c r="H29" i="35"/>
  <c r="H16" i="35"/>
  <c r="H21" i="35"/>
  <c r="E30" i="35"/>
  <c r="U5" i="35"/>
  <c r="AG5" i="35" s="1"/>
  <c r="H24" i="35"/>
  <c r="G30" i="35"/>
  <c r="F30" i="35"/>
  <c r="D30" i="35"/>
  <c r="H30" i="35" l="1"/>
  <c r="F40" i="32" l="1"/>
  <c r="J35" i="32"/>
  <c r="J40" i="27" s="1"/>
  <c r="X73" i="35" s="1"/>
  <c r="K35" i="32"/>
  <c r="I35" i="32"/>
  <c r="H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6" i="35" s="1"/>
  <c r="G14" i="20" l="1"/>
  <c r="H19" i="20" s="1"/>
  <c r="E14" i="20"/>
  <c r="F19" i="20" l="1"/>
  <c r="H18" i="20"/>
  <c r="F57" i="35"/>
  <c r="D57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G82" i="32" s="1"/>
  <c r="AG14" i="35"/>
  <c r="G52" i="27"/>
  <c r="AG9" i="35"/>
  <c r="F52" i="27"/>
  <c r="F60" i="27"/>
  <c r="AE18" i="35" s="1"/>
  <c r="G60" i="27"/>
  <c r="AG18" i="35" s="1"/>
  <c r="AG10" i="35" l="1"/>
  <c r="H52" i="27"/>
  <c r="I52" i="27" s="1"/>
  <c r="AG17" i="35"/>
  <c r="H59" i="27"/>
  <c r="F43" i="32"/>
  <c r="AE10" i="35"/>
  <c r="AG15" i="35"/>
  <c r="F82" i="32"/>
  <c r="AE15" i="35"/>
  <c r="G61" i="27"/>
  <c r="AG19" i="35" s="1"/>
  <c r="AJ68" i="35" l="1"/>
  <c r="F43" i="27"/>
  <c r="G43" i="27"/>
  <c r="H48" i="27"/>
  <c r="I48" i="27" s="1"/>
  <c r="J48" i="27" s="1"/>
  <c r="K48" i="27" s="1"/>
  <c r="AM68" i="35" l="1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3" i="35" s="1"/>
  <c r="AG6" i="35" l="1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8" i="35" s="1"/>
  <c r="F17" i="20"/>
  <c r="E60" i="35" s="1"/>
  <c r="F23" i="20"/>
  <c r="E66" i="35" s="1"/>
  <c r="F18" i="20"/>
  <c r="E61" i="35" s="1"/>
  <c r="F24" i="20"/>
  <c r="E67" i="35" s="1"/>
  <c r="F27" i="20"/>
  <c r="E71" i="35" s="1"/>
  <c r="F30" i="20"/>
  <c r="E74" i="35" s="1"/>
  <c r="F21" i="20"/>
  <c r="E64" i="35" s="1"/>
  <c r="F16" i="20"/>
  <c r="E59" i="35" s="1"/>
  <c r="E62" i="35"/>
  <c r="F25" i="20"/>
  <c r="E68" i="35" s="1"/>
  <c r="T36" i="35" l="1"/>
  <c r="P29" i="27"/>
  <c r="AT11" i="35" s="1"/>
  <c r="P27" i="27"/>
  <c r="P46" i="27"/>
  <c r="C53" i="34" s="1"/>
  <c r="T42" i="35"/>
  <c r="F51" i="32"/>
  <c r="T24" i="35" s="1"/>
  <c r="E22" i="20"/>
  <c r="D63" i="35"/>
  <c r="P18" i="27"/>
  <c r="F47" i="27"/>
  <c r="P11" i="27"/>
  <c r="P44" i="27"/>
  <c r="C51" i="34" s="1"/>
  <c r="F20" i="20"/>
  <c r="C2" i="34" l="1"/>
  <c r="C26" i="34" s="1"/>
  <c r="P72" i="27"/>
  <c r="P86" i="27"/>
  <c r="D65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3" i="35"/>
  <c r="P19" i="27"/>
  <c r="C27" i="34" s="1"/>
  <c r="H47" i="26"/>
  <c r="H37" i="35" s="1"/>
  <c r="H38" i="26"/>
  <c r="F26" i="20" l="1"/>
  <c r="E69" i="35" s="1"/>
  <c r="F15" i="27"/>
  <c r="E65" i="35"/>
  <c r="P21" i="27"/>
  <c r="E31" i="20"/>
  <c r="D69" i="35"/>
  <c r="H50" i="27"/>
  <c r="C28" i="34" l="1"/>
  <c r="P22" i="27"/>
  <c r="I40" i="32"/>
  <c r="AI8" i="35"/>
  <c r="F31" i="20"/>
  <c r="P24" i="27" s="1"/>
  <c r="C29" i="34" s="1"/>
  <c r="D74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2" i="28"/>
  <c r="M58" i="30"/>
  <c r="M99" i="30" s="1"/>
  <c r="G64" i="27"/>
  <c r="G101" i="32"/>
  <c r="K36" i="20"/>
  <c r="D65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0" i="2"/>
  <c r="G10" i="2" s="1"/>
  <c r="H10" i="2" s="1"/>
  <c r="L35" i="1" l="1"/>
  <c r="Y38" i="35"/>
  <c r="X38" i="35"/>
  <c r="Y33" i="35"/>
  <c r="U51" i="30" l="1"/>
  <c r="C20" i="33"/>
  <c r="C30" i="33" s="1"/>
  <c r="G89" i="32"/>
  <c r="H89" i="32" s="1"/>
  <c r="C2" i="33"/>
  <c r="C34" i="33" s="1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39" i="30"/>
  <c r="S25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" i="29"/>
  <c r="E38" i="29" s="1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3" i="2"/>
  <c r="E13" i="2" s="1"/>
  <c r="F13" i="2" s="1"/>
  <c r="G13" i="2" s="1"/>
  <c r="H13" i="2" s="1"/>
  <c r="D14" i="2"/>
  <c r="D20" i="2"/>
  <c r="E20" i="2" s="1"/>
  <c r="F20" i="2" s="1"/>
  <c r="G20" i="2" s="1"/>
  <c r="H20" i="2" s="1"/>
  <c r="D21" i="2"/>
  <c r="E21" i="2" s="1"/>
  <c r="F21" i="2" s="1"/>
  <c r="G21" i="2" s="1"/>
  <c r="H21" i="2" s="1"/>
  <c r="D27" i="2"/>
  <c r="D28" i="2"/>
  <c r="D34" i="2"/>
  <c r="E34" i="2" s="1"/>
  <c r="D35" i="2"/>
  <c r="F40" i="2"/>
  <c r="D41" i="2"/>
  <c r="E41" i="2" s="1"/>
  <c r="K41" i="2"/>
  <c r="L41" i="2" s="1"/>
  <c r="M41" i="2" s="1"/>
  <c r="D42" i="2"/>
  <c r="E42" i="2" s="1"/>
  <c r="E47" i="2"/>
  <c r="K47" i="2"/>
  <c r="L47" i="2" s="1"/>
  <c r="M47" i="2" s="1"/>
  <c r="D48" i="2"/>
  <c r="E48" i="2" s="1"/>
  <c r="K48" i="2"/>
  <c r="D49" i="2"/>
  <c r="E49" i="2" s="1"/>
  <c r="F49" i="2" s="1"/>
  <c r="G49" i="2" s="1"/>
  <c r="G50" i="2" s="1"/>
  <c r="E54" i="2"/>
  <c r="K54" i="2"/>
  <c r="L54" i="2" s="1"/>
  <c r="M54" i="2" s="1"/>
  <c r="D55" i="2"/>
  <c r="E55" i="2" s="1"/>
  <c r="K55" i="2"/>
  <c r="D56" i="2"/>
  <c r="E56" i="2" s="1"/>
  <c r="E61" i="2"/>
  <c r="K61" i="2"/>
  <c r="L61" i="2" s="1"/>
  <c r="M61" i="2" s="1"/>
  <c r="D62" i="2"/>
  <c r="E62" i="2" s="1"/>
  <c r="K62" i="2"/>
  <c r="D63" i="2"/>
  <c r="E63" i="2" s="1"/>
  <c r="F63" i="2" s="1"/>
  <c r="F64" i="2" s="1"/>
  <c r="E68" i="2"/>
  <c r="K68" i="2"/>
  <c r="D69" i="2"/>
  <c r="E69" i="2" s="1"/>
  <c r="K69" i="2"/>
  <c r="L69" i="2" s="1"/>
  <c r="M69" i="2" s="1"/>
  <c r="D70" i="2"/>
  <c r="E70" i="2" s="1"/>
  <c r="K75" i="2"/>
  <c r="L75" i="2" s="1"/>
  <c r="M75" i="2" s="1"/>
  <c r="D76" i="2"/>
  <c r="E76" i="2" s="1"/>
  <c r="K76" i="2"/>
  <c r="L76" i="2" s="1"/>
  <c r="M76" i="2" s="1"/>
  <c r="D77" i="2"/>
  <c r="E77" i="2" s="1"/>
  <c r="F77" i="2" s="1"/>
  <c r="G77" i="2" s="1"/>
  <c r="H77" i="2" s="1"/>
  <c r="H2" i="1"/>
  <c r="F7" i="1"/>
  <c r="H9" i="1"/>
  <c r="J9" i="1" s="1"/>
  <c r="L9" i="1" s="1"/>
  <c r="H13" i="1"/>
  <c r="Q13" i="1"/>
  <c r="R13" i="1" s="1"/>
  <c r="H14" i="1"/>
  <c r="AA25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R18" i="28" s="1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D2" i="33" s="1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5" i="30" s="1"/>
  <c r="S21" i="30"/>
  <c r="S45" i="30" s="1"/>
  <c r="B23" i="30"/>
  <c r="H12" i="22" s="1"/>
  <c r="S23" i="30"/>
  <c r="S41" i="30"/>
  <c r="S42" i="30"/>
  <c r="B47" i="30"/>
  <c r="B48" i="30" s="1"/>
  <c r="B49" i="30" s="1"/>
  <c r="B50" i="30" s="1"/>
  <c r="B51" i="30" s="1"/>
  <c r="S50" i="30"/>
  <c r="T50" i="30" s="1"/>
  <c r="I60" i="30"/>
  <c r="J60" i="30"/>
  <c r="N60" i="30"/>
  <c r="D62" i="30"/>
  <c r="G94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7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40" i="26"/>
  <c r="D60" i="26" s="1"/>
  <c r="E40" i="26"/>
  <c r="E60" i="26" s="1"/>
  <c r="F40" i="26"/>
  <c r="F60" i="26" s="1"/>
  <c r="F48" i="35" s="1"/>
  <c r="G40" i="26"/>
  <c r="G60" i="26" s="1"/>
  <c r="D42" i="26"/>
  <c r="D43" i="26"/>
  <c r="H46" i="26"/>
  <c r="H36" i="35" s="1"/>
  <c r="H49" i="26"/>
  <c r="H39" i="35" s="1"/>
  <c r="H50" i="26"/>
  <c r="H40" i="35" s="1"/>
  <c r="H53" i="26"/>
  <c r="H42" i="35" s="1"/>
  <c r="H54" i="26"/>
  <c r="H43" i="35" s="1"/>
  <c r="H55" i="26"/>
  <c r="H44" i="35" s="1"/>
  <c r="B64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R18" i="29"/>
  <c r="M24" i="28"/>
  <c r="AL44" i="35" s="1"/>
  <c r="R7" i="29"/>
  <c r="M25" i="28"/>
  <c r="AL45" i="35" s="1"/>
  <c r="J39" i="28"/>
  <c r="C26" i="33"/>
  <c r="C27" i="33"/>
  <c r="C31" i="33"/>
  <c r="D20" i="33"/>
  <c r="G61" i="35"/>
  <c r="H34" i="32"/>
  <c r="C32" i="33"/>
  <c r="C28" i="33"/>
  <c r="C33" i="33"/>
  <c r="I41" i="33" s="1"/>
  <c r="C29" i="33"/>
  <c r="N17" i="28"/>
  <c r="AM35" i="35" s="1"/>
  <c r="R13" i="29"/>
  <c r="O11" i="29"/>
  <c r="F42" i="2"/>
  <c r="G42" i="2" s="1"/>
  <c r="E39" i="2"/>
  <c r="Q59" i="1"/>
  <c r="R59" i="1" s="1"/>
  <c r="H49" i="2" l="1"/>
  <c r="H50" i="2" s="1"/>
  <c r="F50" i="2"/>
  <c r="E50" i="2"/>
  <c r="F41" i="2"/>
  <c r="G41" i="2" s="1"/>
  <c r="H41" i="2" s="1"/>
  <c r="E28" i="2"/>
  <c r="F28" i="2" s="1"/>
  <c r="G28" i="2" s="1"/>
  <c r="H28" i="2" s="1"/>
  <c r="E27" i="2"/>
  <c r="F27" i="2" s="1"/>
  <c r="E14" i="2"/>
  <c r="F14" i="2" s="1"/>
  <c r="G14" i="2" s="1"/>
  <c r="H14" i="2" s="1"/>
  <c r="F23" i="22"/>
  <c r="K26" i="27"/>
  <c r="C32" i="22"/>
  <c r="C33" i="22" s="1"/>
  <c r="R64" i="1"/>
  <c r="H64" i="1"/>
  <c r="U27" i="30" s="1"/>
  <c r="H77" i="1"/>
  <c r="G39" i="33"/>
  <c r="Q86" i="27"/>
  <c r="AO25" i="30"/>
  <c r="R79" i="27"/>
  <c r="Q81" i="27"/>
  <c r="G51" i="30"/>
  <c r="B85" i="2"/>
  <c r="B126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O53" i="35"/>
  <c r="AD24" i="29"/>
  <c r="AO54" i="35"/>
  <c r="AI59" i="35"/>
  <c r="AB36" i="35"/>
  <c r="J3" i="29"/>
  <c r="J38" i="29" s="1"/>
  <c r="AE40" i="35"/>
  <c r="AJ29" i="35"/>
  <c r="AJ36" i="35" s="1"/>
  <c r="C49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U7" i="29"/>
  <c r="U47" i="29"/>
  <c r="K42" i="28" s="1"/>
  <c r="AJ64" i="35" s="1"/>
  <c r="R17" i="28"/>
  <c r="D45" i="1"/>
  <c r="AD53" i="29"/>
  <c r="AF53" i="29" s="1"/>
  <c r="AL53" i="29" s="1"/>
  <c r="AF64" i="29" s="1"/>
  <c r="E43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46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8" i="35"/>
  <c r="E48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69" i="2"/>
  <c r="G69" i="2" s="1"/>
  <c r="H69" i="2" s="1"/>
  <c r="K13" i="22"/>
  <c r="L13" i="22"/>
  <c r="H108" i="1"/>
  <c r="J108" i="1" s="1"/>
  <c r="H53" i="1"/>
  <c r="E53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4" i="30"/>
  <c r="Q80" i="1"/>
  <c r="R80" i="1" s="1"/>
  <c r="H80" i="1"/>
  <c r="E35" i="2"/>
  <c r="F35" i="2" s="1"/>
  <c r="G35" i="2" s="1"/>
  <c r="H35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Q17" i="29" s="1"/>
  <c r="W17" i="29" s="1"/>
  <c r="AC17" i="29" s="1"/>
  <c r="AI17" i="29" s="1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M17" i="29"/>
  <c r="O17" i="29" s="1"/>
  <c r="H25" i="28" s="1"/>
  <c r="AG45" i="35" s="1"/>
  <c r="K18" i="29"/>
  <c r="AK27" i="29"/>
  <c r="AM27" i="29" s="1"/>
  <c r="R16" i="29"/>
  <c r="R28" i="29" s="1"/>
  <c r="S9" i="29"/>
  <c r="S8" i="29"/>
  <c r="J75" i="35"/>
  <c r="H75" i="35"/>
  <c r="G18" i="30"/>
  <c r="H55" i="35"/>
  <c r="F24" i="22"/>
  <c r="C6" i="22"/>
  <c r="C7" i="22" s="1"/>
  <c r="H20" i="32" s="1"/>
  <c r="C108" i="29" s="1"/>
  <c r="S51" i="30"/>
  <c r="T51" i="30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T17" i="22"/>
  <c r="V17" i="22"/>
  <c r="V13" i="22"/>
  <c r="M13" i="22"/>
  <c r="C19" i="33"/>
  <c r="E60" i="2"/>
  <c r="F55" i="2"/>
  <c r="E67" i="2"/>
  <c r="T10" i="27"/>
  <c r="C122" i="29"/>
  <c r="V14" i="35"/>
  <c r="F34" i="2"/>
  <c r="G34" i="2" s="1"/>
  <c r="E32" i="2"/>
  <c r="H72" i="1"/>
  <c r="U36" i="35"/>
  <c r="U40" i="35"/>
  <c r="V29" i="35"/>
  <c r="G38" i="32"/>
  <c r="U15" i="35" s="1"/>
  <c r="U17" i="35"/>
  <c r="U7" i="35"/>
  <c r="U9" i="35"/>
  <c r="Q14" i="27"/>
  <c r="F76" i="35" s="1"/>
  <c r="B5" i="1"/>
  <c r="B6" i="35"/>
  <c r="F16" i="26"/>
  <c r="G16" i="26" s="1"/>
  <c r="G15" i="35" s="1"/>
  <c r="G33" i="35" s="1"/>
  <c r="E15" i="35"/>
  <c r="E33" i="35" s="1"/>
  <c r="L27" i="1"/>
  <c r="H18" i="30"/>
  <c r="K12" i="20"/>
  <c r="J55" i="35" s="1"/>
  <c r="E5" i="1"/>
  <c r="F8" i="1"/>
  <c r="O27" i="1" s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U37" i="30" s="1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6" i="2" s="1"/>
  <c r="D98" i="30"/>
  <c r="C36" i="22"/>
  <c r="C39" i="22" s="1"/>
  <c r="C100" i="29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81" i="2"/>
  <c r="H58" i="1"/>
  <c r="H40" i="32"/>
  <c r="G40" i="32"/>
  <c r="D10" i="22"/>
  <c r="I25" i="27" s="1"/>
  <c r="B6" i="27"/>
  <c r="M6" i="27" s="1"/>
  <c r="B5" i="2"/>
  <c r="D63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H57" i="27"/>
  <c r="AI15" i="35" s="1"/>
  <c r="G43" i="32"/>
  <c r="E5" i="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5" i="30" s="1"/>
  <c r="I9" i="30"/>
  <c r="J9" i="30" s="1"/>
  <c r="T11" i="29"/>
  <c r="F74" i="1"/>
  <c r="M24" i="29"/>
  <c r="O24" i="29" s="1"/>
  <c r="D27" i="33"/>
  <c r="T8" i="29"/>
  <c r="U10" i="29"/>
  <c r="AH37" i="29"/>
  <c r="X12" i="29"/>
  <c r="F68" i="2"/>
  <c r="J35" i="29"/>
  <c r="L35" i="29" s="1"/>
  <c r="B36" i="20"/>
  <c r="H94" i="30"/>
  <c r="I39" i="28"/>
  <c r="H114" i="1"/>
  <c r="J114" i="1" s="1"/>
  <c r="L114" i="1" s="1"/>
  <c r="E4" i="29"/>
  <c r="E43" i="22"/>
  <c r="E46" i="22" s="1"/>
  <c r="E47" i="22" s="1"/>
  <c r="J15" i="32" s="1"/>
  <c r="E103" i="29" s="1"/>
  <c r="R15" i="27"/>
  <c r="S26" i="29"/>
  <c r="U26" i="29" s="1"/>
  <c r="P25" i="28"/>
  <c r="X53" i="29"/>
  <c r="Z53" i="29" s="1"/>
  <c r="AE64" i="29" s="1"/>
  <c r="L2" i="22"/>
  <c r="AJ65" i="29"/>
  <c r="B100" i="29"/>
  <c r="E25" i="2"/>
  <c r="E29" i="2" s="1"/>
  <c r="N35" i="29"/>
  <c r="K27" i="29"/>
  <c r="D99" i="30"/>
  <c r="R10" i="27"/>
  <c r="F47" i="2"/>
  <c r="G47" i="2" s="1"/>
  <c r="H47" i="2" s="1"/>
  <c r="M26" i="29"/>
  <c r="O26" i="29" s="1"/>
  <c r="M35" i="29"/>
  <c r="G63" i="2"/>
  <c r="G64" i="2" s="1"/>
  <c r="E64" i="2"/>
  <c r="F46" i="1"/>
  <c r="O13" i="22"/>
  <c r="Q55" i="1"/>
  <c r="H42" i="2"/>
  <c r="B106" i="29"/>
  <c r="D28" i="33"/>
  <c r="L43" i="29"/>
  <c r="F75" i="2"/>
  <c r="G75" i="2" s="1"/>
  <c r="H75" i="2" s="1"/>
  <c r="P30" i="28"/>
  <c r="H106" i="1"/>
  <c r="Q72" i="1"/>
  <c r="R72" i="1" s="1"/>
  <c r="H68" i="1"/>
  <c r="J68" i="1" s="1"/>
  <c r="L68" i="1" s="1"/>
  <c r="F39" i="2"/>
  <c r="F43" i="2" s="1"/>
  <c r="D34" i="33"/>
  <c r="D19" i="33"/>
  <c r="X34" i="29"/>
  <c r="X37" i="29" s="1"/>
  <c r="V37" i="29"/>
  <c r="E71" i="2"/>
  <c r="F70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8" i="35" s="1"/>
  <c r="O14" i="29"/>
  <c r="D30" i="33"/>
  <c r="H23" i="20"/>
  <c r="G66" i="35" s="1"/>
  <c r="G20" i="20"/>
  <c r="F63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55" i="2"/>
  <c r="M55" i="2" s="1"/>
  <c r="T13" i="22"/>
  <c r="H73" i="1"/>
  <c r="J73" i="1" s="1"/>
  <c r="L73" i="1" s="1"/>
  <c r="H115" i="1"/>
  <c r="J115" i="1" s="1"/>
  <c r="L115" i="1" s="1"/>
  <c r="G62" i="35"/>
  <c r="H96" i="1"/>
  <c r="J96" i="1" s="1"/>
  <c r="L96" i="1" s="1"/>
  <c r="H100" i="1"/>
  <c r="J100" i="1" s="1"/>
  <c r="L100" i="1" s="1"/>
  <c r="C3" i="33"/>
  <c r="H17" i="20"/>
  <c r="G60" i="35" s="1"/>
  <c r="Q58" i="1"/>
  <c r="R58" i="1" s="1"/>
  <c r="F107" i="1"/>
  <c r="Q13" i="22"/>
  <c r="G3" i="27"/>
  <c r="D33" i="33"/>
  <c r="J41" i="33" s="1"/>
  <c r="H21" i="20"/>
  <c r="G64" i="35" s="1"/>
  <c r="H27" i="20"/>
  <c r="G71" i="35" s="1"/>
  <c r="H95" i="1"/>
  <c r="J95" i="1" s="1"/>
  <c r="L95" i="1" s="1"/>
  <c r="H71" i="1"/>
  <c r="J71" i="1" s="1"/>
  <c r="L71" i="1" s="1"/>
  <c r="F61" i="2"/>
  <c r="G61" i="2" s="1"/>
  <c r="H61" i="2" s="1"/>
  <c r="P13" i="22"/>
  <c r="E6" i="22"/>
  <c r="H30" i="20"/>
  <c r="G74" i="35" s="1"/>
  <c r="H90" i="1"/>
  <c r="J90" i="1" s="1"/>
  <c r="L90" i="1" s="1"/>
  <c r="B28" i="29"/>
  <c r="L17" i="22"/>
  <c r="D29" i="33"/>
  <c r="H16" i="20"/>
  <c r="J16" i="20" s="1"/>
  <c r="L16" i="20" s="1"/>
  <c r="H29" i="20"/>
  <c r="G73" i="35" s="1"/>
  <c r="H15" i="20"/>
  <c r="G58" i="35" s="1"/>
  <c r="AB36" i="29"/>
  <c r="AD36" i="29" s="1"/>
  <c r="AD37" i="29" s="1"/>
  <c r="H70" i="1"/>
  <c r="J70" i="1" s="1"/>
  <c r="L70" i="1" s="1"/>
  <c r="AJ37" i="29"/>
  <c r="H40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5" i="30" s="1"/>
  <c r="F63" i="1"/>
  <c r="F79" i="1"/>
  <c r="B97" i="29" s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AF22" i="29"/>
  <c r="H24" i="1"/>
  <c r="AN25" i="30" s="1"/>
  <c r="J13" i="1"/>
  <c r="I11" i="32"/>
  <c r="W6" i="35" s="1"/>
  <c r="F38" i="33"/>
  <c r="F17" i="2"/>
  <c r="G17" i="2" s="1"/>
  <c r="H17" i="2" s="1"/>
  <c r="H40" i="33"/>
  <c r="L68" i="2"/>
  <c r="M68" i="2" s="1"/>
  <c r="F54" i="2"/>
  <c r="G40" i="2"/>
  <c r="G33" i="2"/>
  <c r="H33" i="2" s="1"/>
  <c r="E18" i="2"/>
  <c r="E22" i="2" s="1"/>
  <c r="J14" i="1"/>
  <c r="R110" i="1"/>
  <c r="O13" i="30"/>
  <c r="X13" i="29"/>
  <c r="AJ13" i="29" s="1"/>
  <c r="AJ43" i="29"/>
  <c r="AE60" i="29"/>
  <c r="AB64" i="29"/>
  <c r="AB56" i="29"/>
  <c r="E57" i="2"/>
  <c r="F56" i="2"/>
  <c r="T13" i="29"/>
  <c r="I46" i="27"/>
  <c r="S10" i="27"/>
  <c r="R12" i="29"/>
  <c r="AJ12" i="29" s="1"/>
  <c r="I18" i="28"/>
  <c r="D26" i="33"/>
  <c r="E20" i="33"/>
  <c r="D32" i="33"/>
  <c r="H48" i="1"/>
  <c r="Q10" i="27"/>
  <c r="G46" i="27"/>
  <c r="R78" i="1"/>
  <c r="F62" i="2"/>
  <c r="L62" i="2"/>
  <c r="M62" i="2" s="1"/>
  <c r="L48" i="2"/>
  <c r="M48" i="2" s="1"/>
  <c r="F48" i="2"/>
  <c r="D31" i="33"/>
  <c r="P47" i="29"/>
  <c r="F76" i="2"/>
  <c r="E74" i="2"/>
  <c r="E78" i="2" s="1"/>
  <c r="G27" i="30"/>
  <c r="V50" i="29"/>
  <c r="E43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AI25" i="30" l="1"/>
  <c r="AK25" i="30" s="1"/>
  <c r="J121" i="1"/>
  <c r="U35" i="30"/>
  <c r="H35" i="30" s="1"/>
  <c r="B95" i="29"/>
  <c r="J53" i="1"/>
  <c r="L53" i="1" s="1"/>
  <c r="U26" i="30"/>
  <c r="G27" i="2"/>
  <c r="H27" i="2" s="1"/>
  <c r="F25" i="2"/>
  <c r="J110" i="1"/>
  <c r="J111" i="1"/>
  <c r="V28" i="29"/>
  <c r="Z23" i="29"/>
  <c r="M12" i="20"/>
  <c r="D2" i="34"/>
  <c r="D26" i="34" s="1"/>
  <c r="Q72" i="27"/>
  <c r="AN24" i="30"/>
  <c r="H87" i="32"/>
  <c r="I87" i="32"/>
  <c r="AP67" i="35"/>
  <c r="N44" i="29"/>
  <c r="J56" i="29"/>
  <c r="AP25" i="30"/>
  <c r="AL25" i="30"/>
  <c r="Z25" i="30"/>
  <c r="AE67" i="35"/>
  <c r="U47" i="30"/>
  <c r="G47" i="30" s="1"/>
  <c r="S47" i="30" s="1"/>
  <c r="T47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Q81" i="35"/>
  <c r="AA8" i="29"/>
  <c r="AM30" i="35"/>
  <c r="Q27" i="27"/>
  <c r="E36" i="2"/>
  <c r="M2" i="22"/>
  <c r="Q29" i="27"/>
  <c r="H43" i="32"/>
  <c r="AI10" i="35"/>
  <c r="H45" i="32"/>
  <c r="AI13" i="35"/>
  <c r="J40" i="32"/>
  <c r="AK8" i="35"/>
  <c r="J76" i="1"/>
  <c r="L76" i="1" s="1"/>
  <c r="O49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H45" i="28"/>
  <c r="G45" i="28"/>
  <c r="G49" i="28" s="1"/>
  <c r="S20" i="29"/>
  <c r="U20" i="29" s="1"/>
  <c r="K29" i="28" s="1"/>
  <c r="AJ49" i="35" s="1"/>
  <c r="P28" i="29"/>
  <c r="Y19" i="29"/>
  <c r="F43" i="26"/>
  <c r="F67" i="2"/>
  <c r="F49" i="28"/>
  <c r="AE72" i="35" s="1"/>
  <c r="H93" i="32"/>
  <c r="H94" i="32" s="1"/>
  <c r="F45" i="1"/>
  <c r="F11" i="2"/>
  <c r="F15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L35" i="30"/>
  <c r="G35" i="30"/>
  <c r="F34" i="1"/>
  <c r="F39" i="1"/>
  <c r="L48" i="30"/>
  <c r="R48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J35" i="30"/>
  <c r="N35" i="30"/>
  <c r="Q35" i="30"/>
  <c r="R35" i="30"/>
  <c r="K35" i="30"/>
  <c r="P35" i="30"/>
  <c r="M35" i="30"/>
  <c r="O35" i="30"/>
  <c r="I35" i="30"/>
  <c r="O34" i="1"/>
  <c r="O99" i="1"/>
  <c r="O12" i="1"/>
  <c r="O24" i="1"/>
  <c r="O46" i="1"/>
  <c r="O69" i="1"/>
  <c r="O83" i="1"/>
  <c r="O88" i="1"/>
  <c r="O74" i="1"/>
  <c r="O21" i="1"/>
  <c r="E8" i="2"/>
  <c r="J74" i="2" s="1"/>
  <c r="O107" i="1"/>
  <c r="O17" i="1"/>
  <c r="O63" i="1"/>
  <c r="O41" i="1"/>
  <c r="O104" i="1"/>
  <c r="O112" i="1"/>
  <c r="O52" i="1"/>
  <c r="O79" i="1"/>
  <c r="O94" i="1"/>
  <c r="J118" i="1"/>
  <c r="L121" i="1"/>
  <c r="J80" i="1"/>
  <c r="L80" i="1" s="1"/>
  <c r="L79" i="1" s="1"/>
  <c r="I49" i="28"/>
  <c r="AH72" i="35" s="1"/>
  <c r="AJ22" i="29"/>
  <c r="AK22" i="29" s="1"/>
  <c r="AM22" i="29" s="1"/>
  <c r="J17" i="27"/>
  <c r="X56" i="35" s="1"/>
  <c r="L49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8" i="35"/>
  <c r="H60" i="26"/>
  <c r="H48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5" i="30"/>
  <c r="E24" i="22"/>
  <c r="L91" i="1"/>
  <c r="G51" i="32"/>
  <c r="U24" i="35" s="1"/>
  <c r="F18" i="2"/>
  <c r="F22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5" i="35"/>
  <c r="Y9" i="29"/>
  <c r="O12" i="20"/>
  <c r="N55" i="35" s="1"/>
  <c r="L55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5" i="30" s="1"/>
  <c r="F2" i="33"/>
  <c r="F34" i="33" s="1"/>
  <c r="L18" i="28"/>
  <c r="N11" i="28"/>
  <c r="AM29" i="35" s="1"/>
  <c r="M14" i="29"/>
  <c r="J34" i="32"/>
  <c r="X14" i="35" s="1"/>
  <c r="W14" i="35"/>
  <c r="N40" i="29"/>
  <c r="N43" i="29" s="1"/>
  <c r="AA43" i="29"/>
  <c r="L19" i="28"/>
  <c r="K19" i="28"/>
  <c r="AJ38" i="35" s="1"/>
  <c r="H34" i="2"/>
  <c r="H32" i="2" s="1"/>
  <c r="H36" i="2" s="1"/>
  <c r="G32" i="2"/>
  <c r="G36" i="2" s="1"/>
  <c r="F32" i="2"/>
  <c r="F36" i="2" s="1"/>
  <c r="AA56" i="29"/>
  <c r="R56" i="29"/>
  <c r="S60" i="29"/>
  <c r="U42" i="35"/>
  <c r="W29" i="35"/>
  <c r="G59" i="35"/>
  <c r="F15" i="35"/>
  <c r="F33" i="35" s="1"/>
  <c r="E3" i="22"/>
  <c r="E11" i="2"/>
  <c r="B57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1" i="2"/>
  <c r="G38" i="33"/>
  <c r="G11" i="2"/>
  <c r="G15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4" i="33"/>
  <c r="C5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7" i="33"/>
  <c r="D7" i="33" s="1"/>
  <c r="D3" i="33"/>
  <c r="E3" i="33" s="1"/>
  <c r="C9" i="33"/>
  <c r="D9" i="33" s="1"/>
  <c r="E9" i="33" s="1"/>
  <c r="F9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C8" i="33"/>
  <c r="D8" i="33" s="1"/>
  <c r="E8" i="33" s="1"/>
  <c r="AD56" i="29"/>
  <c r="AD43" i="29"/>
  <c r="Y60" i="29"/>
  <c r="O19" i="28"/>
  <c r="AN38" i="35" s="1"/>
  <c r="J83" i="32"/>
  <c r="P45" i="28"/>
  <c r="H39" i="1"/>
  <c r="AA25" i="29"/>
  <c r="Z25" i="29"/>
  <c r="AF25" i="29" s="1"/>
  <c r="AK25" i="29" s="1"/>
  <c r="U17" i="29"/>
  <c r="K25" i="28" s="1"/>
  <c r="AJ45" i="35" s="1"/>
  <c r="T17" i="29"/>
  <c r="Y17" i="29" s="1"/>
  <c r="H63" i="2"/>
  <c r="H64" i="2" s="1"/>
  <c r="H25" i="2"/>
  <c r="AB37" i="29"/>
  <c r="J102" i="29"/>
  <c r="E57" i="29"/>
  <c r="E39" i="29"/>
  <c r="G25" i="2"/>
  <c r="H69" i="1"/>
  <c r="E2" i="33"/>
  <c r="I21" i="30"/>
  <c r="I45" i="30" s="1"/>
  <c r="I94" i="30"/>
  <c r="R55" i="1"/>
  <c r="H94" i="1"/>
  <c r="L99" i="1"/>
  <c r="L78" i="1"/>
  <c r="L17" i="1"/>
  <c r="H107" i="1"/>
  <c r="H20" i="20"/>
  <c r="Q18" i="27"/>
  <c r="X28" i="29"/>
  <c r="S15" i="30"/>
  <c r="T15" i="30" s="1"/>
  <c r="G55" i="2"/>
  <c r="H55" i="2" s="1"/>
  <c r="N2" i="22"/>
  <c r="J21" i="30"/>
  <c r="J45" i="30" s="1"/>
  <c r="J94" i="30"/>
  <c r="J94" i="1"/>
  <c r="M61" i="29"/>
  <c r="S61" i="29"/>
  <c r="N56" i="29"/>
  <c r="T44" i="29"/>
  <c r="G70" i="2"/>
  <c r="F71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P34" i="1" s="1"/>
  <c r="D100" i="29"/>
  <c r="F24" i="2"/>
  <c r="G24" i="2" s="1"/>
  <c r="H24" i="2" s="1"/>
  <c r="G68" i="2"/>
  <c r="G54" i="2"/>
  <c r="F53" i="2"/>
  <c r="I40" i="33"/>
  <c r="G18" i="2"/>
  <c r="G22" i="2" s="1"/>
  <c r="H37" i="1"/>
  <c r="L14" i="1"/>
  <c r="F20" i="33"/>
  <c r="E26" i="33"/>
  <c r="E32" i="33"/>
  <c r="E29" i="33"/>
  <c r="E27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48" i="2"/>
  <c r="F46" i="2"/>
  <c r="N75" i="35"/>
  <c r="T15" i="27"/>
  <c r="K18" i="28"/>
  <c r="U12" i="29"/>
  <c r="U14" i="29" s="1"/>
  <c r="Z13" i="29"/>
  <c r="AE13" i="29" s="1"/>
  <c r="P62" i="29"/>
  <c r="T47" i="29"/>
  <c r="P56" i="29"/>
  <c r="Z19" i="29"/>
  <c r="L8" i="1"/>
  <c r="R34" i="1" s="1"/>
  <c r="K11" i="32"/>
  <c r="Y6" i="35" s="1"/>
  <c r="G43" i="26"/>
  <c r="K11" i="27"/>
  <c r="H8" i="2"/>
  <c r="F3" i="22"/>
  <c r="L108" i="1"/>
  <c r="J107" i="1"/>
  <c r="J27" i="30"/>
  <c r="L27" i="30"/>
  <c r="N27" i="30"/>
  <c r="Q27" i="30"/>
  <c r="P27" i="30"/>
  <c r="R27" i="30"/>
  <c r="M27" i="30"/>
  <c r="I27" i="30"/>
  <c r="H27" i="30"/>
  <c r="K27" i="30"/>
  <c r="O27" i="30"/>
  <c r="J74" i="1"/>
  <c r="F29" i="2"/>
  <c r="G62" i="2"/>
  <c r="F60" i="2"/>
  <c r="J48" i="1"/>
  <c r="T12" i="29"/>
  <c r="Y12" i="29" s="1"/>
  <c r="P13" i="30"/>
  <c r="G76" i="2"/>
  <c r="F74" i="2"/>
  <c r="F78" i="2" s="1"/>
  <c r="J113" i="1"/>
  <c r="G56" i="2"/>
  <c r="F57" i="2"/>
  <c r="AA13" i="29"/>
  <c r="J59" i="27"/>
  <c r="AM17" i="35" s="1"/>
  <c r="J50" i="27"/>
  <c r="AP24" i="30" l="1"/>
  <c r="AS24" i="30" s="1"/>
  <c r="AV24" i="30" s="1"/>
  <c r="AM25" i="30"/>
  <c r="AR25" i="30"/>
  <c r="D97" i="29"/>
  <c r="D95" i="29"/>
  <c r="U28" i="30" s="1"/>
  <c r="Q28" i="30" s="1"/>
  <c r="U23" i="22" s="1"/>
  <c r="U24" i="22" s="1"/>
  <c r="M26" i="30"/>
  <c r="Q18" i="22" s="1"/>
  <c r="Q19" i="22" s="1"/>
  <c r="P26" i="30"/>
  <c r="T18" i="22" s="1"/>
  <c r="T19" i="22" s="1"/>
  <c r="H26" i="30"/>
  <c r="L18" i="22" s="1"/>
  <c r="L19" i="22" s="1"/>
  <c r="I26" i="30"/>
  <c r="M18" i="22" s="1"/>
  <c r="M19" i="22" s="1"/>
  <c r="J26" i="30"/>
  <c r="N18" i="22" s="1"/>
  <c r="N19" i="22" s="1"/>
  <c r="L26" i="30"/>
  <c r="P18" i="22" s="1"/>
  <c r="P19" i="22" s="1"/>
  <c r="G26" i="30"/>
  <c r="N26" i="30"/>
  <c r="R18" i="22" s="1"/>
  <c r="R19" i="22" s="1"/>
  <c r="O26" i="30"/>
  <c r="S18" i="22" s="1"/>
  <c r="S19" i="22" s="1"/>
  <c r="R26" i="30"/>
  <c r="V18" i="22" s="1"/>
  <c r="V19" i="22" s="1"/>
  <c r="Q26" i="30"/>
  <c r="U18" i="22" s="1"/>
  <c r="U19" i="22" s="1"/>
  <c r="K26" i="30"/>
  <c r="O18" i="22" s="1"/>
  <c r="O19" i="22" s="1"/>
  <c r="G122" i="1"/>
  <c r="G123" i="1"/>
  <c r="J87" i="32"/>
  <c r="K87" i="32"/>
  <c r="B96" i="29"/>
  <c r="U36" i="30"/>
  <c r="I36" i="30" s="1"/>
  <c r="H42" i="1"/>
  <c r="J42" i="1" s="1"/>
  <c r="L42" i="1" s="1"/>
  <c r="U34" i="30"/>
  <c r="AS25" i="30"/>
  <c r="AT25" i="30" s="1"/>
  <c r="AB25" i="30"/>
  <c r="AF25" i="30" s="1"/>
  <c r="AF72" i="35"/>
  <c r="U46" i="30"/>
  <c r="I46" i="30" s="1"/>
  <c r="I52" i="30" s="1"/>
  <c r="H62" i="32"/>
  <c r="V34" i="35" s="1"/>
  <c r="I30" i="20"/>
  <c r="G120" i="1"/>
  <c r="I18" i="20"/>
  <c r="H35" i="20" s="1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5" i="35"/>
  <c r="Q20" i="27"/>
  <c r="Q74" i="27" s="1"/>
  <c r="I43" i="32"/>
  <c r="AK10" i="35"/>
  <c r="F32" i="1"/>
  <c r="R40" i="27" s="1"/>
  <c r="R41" i="27" s="1"/>
  <c r="I45" i="32"/>
  <c r="AK13" i="35"/>
  <c r="K40" i="32"/>
  <c r="C6" i="33"/>
  <c r="L74" i="1"/>
  <c r="AK38" i="35"/>
  <c r="H36" i="27"/>
  <c r="V69" i="35" s="1"/>
  <c r="AA7" i="29"/>
  <c r="AA14" i="29" s="1"/>
  <c r="I21" i="28"/>
  <c r="K45" i="28"/>
  <c r="J45" i="28"/>
  <c r="J49" i="28" s="1"/>
  <c r="AI72" i="35" s="1"/>
  <c r="J79" i="1"/>
  <c r="C49" i="22"/>
  <c r="AF8" i="29"/>
  <c r="AK8" i="29" s="1"/>
  <c r="F19" i="33"/>
  <c r="J46" i="2"/>
  <c r="G31" i="30"/>
  <c r="F80" i="2"/>
  <c r="E82" i="2"/>
  <c r="E79" i="2"/>
  <c r="I11" i="20" s="1"/>
  <c r="H47" i="32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C121" i="29" s="1"/>
  <c r="H45" i="1"/>
  <c r="O2" i="22"/>
  <c r="G2" i="33"/>
  <c r="G34" i="33" s="1"/>
  <c r="L9" i="30"/>
  <c r="K94" i="30"/>
  <c r="C48" i="22"/>
  <c r="D58" i="26" s="1"/>
  <c r="D46" i="35" s="1"/>
  <c r="S35" i="30"/>
  <c r="T35" i="30" s="1"/>
  <c r="G119" i="1"/>
  <c r="C14" i="22"/>
  <c r="H23" i="32" s="1"/>
  <c r="C111" i="29" s="1"/>
  <c r="J67" i="2"/>
  <c r="J11" i="2"/>
  <c r="J60" i="2"/>
  <c r="J32" i="2"/>
  <c r="J18" i="2"/>
  <c r="J53" i="2"/>
  <c r="J39" i="2"/>
  <c r="H11" i="27"/>
  <c r="R11" i="27" s="1"/>
  <c r="E2" i="34" s="1"/>
  <c r="E26" i="34" s="1"/>
  <c r="J25" i="2"/>
  <c r="AL22" i="29"/>
  <c r="V10" i="35"/>
  <c r="L118" i="1"/>
  <c r="E119" i="1"/>
  <c r="E120" i="1"/>
  <c r="L12" i="1"/>
  <c r="L41" i="1" s="1"/>
  <c r="M49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6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15" i="2"/>
  <c r="E122" i="29"/>
  <c r="E15" i="2"/>
  <c r="N104" i="29"/>
  <c r="H22" i="20"/>
  <c r="D26" i="22"/>
  <c r="D49" i="22" s="1"/>
  <c r="D24" i="22"/>
  <c r="D48" i="22" s="1"/>
  <c r="E58" i="26" s="1"/>
  <c r="E46" i="35" s="1"/>
  <c r="W62" i="35"/>
  <c r="Y62" i="35"/>
  <c r="X14" i="29"/>
  <c r="Y31" i="29" s="1"/>
  <c r="AE11" i="29"/>
  <c r="AF11" i="29"/>
  <c r="Y7" i="29"/>
  <c r="H18" i="2"/>
  <c r="H22" i="2" s="1"/>
  <c r="K36" i="27"/>
  <c r="Y69" i="35" s="1"/>
  <c r="N18" i="28"/>
  <c r="J69" i="1"/>
  <c r="Y29" i="35"/>
  <c r="X29" i="35"/>
  <c r="Q19" i="27"/>
  <c r="D27" i="34" s="1"/>
  <c r="G63" i="35"/>
  <c r="I59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58" i="26" s="1"/>
  <c r="G46" i="35" s="1"/>
  <c r="E48" i="22"/>
  <c r="F58" i="26" s="1"/>
  <c r="F46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D6" i="33"/>
  <c r="S48" i="30"/>
  <c r="T48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0" i="2"/>
  <c r="H71" i="2" s="1"/>
  <c r="G71" i="2"/>
  <c r="AL9" i="29"/>
  <c r="AM25" i="29"/>
  <c r="AL25" i="29"/>
  <c r="C27" i="22"/>
  <c r="H27" i="32" s="1"/>
  <c r="H32" i="1"/>
  <c r="H31" i="1" s="1"/>
  <c r="H44" i="1" s="1"/>
  <c r="K17" i="20" s="1"/>
  <c r="K30" i="20"/>
  <c r="J73" i="35" s="1"/>
  <c r="J11" i="1"/>
  <c r="J85" i="32"/>
  <c r="J64" i="32"/>
  <c r="M30" i="20" s="1"/>
  <c r="L73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21" i="1"/>
  <c r="P104" i="1"/>
  <c r="P99" i="1"/>
  <c r="P46" i="1"/>
  <c r="P24" i="1"/>
  <c r="P12" i="1"/>
  <c r="P52" i="1"/>
  <c r="P112" i="1"/>
  <c r="P88" i="1"/>
  <c r="P74" i="1"/>
  <c r="P107" i="1"/>
  <c r="P79" i="1"/>
  <c r="P41" i="1"/>
  <c r="P69" i="1"/>
  <c r="P83" i="1"/>
  <c r="P63" i="1"/>
  <c r="P17" i="1"/>
  <c r="P27" i="1"/>
  <c r="P94" i="1"/>
  <c r="F8" i="2"/>
  <c r="F31" i="2"/>
  <c r="G31" i="2" s="1"/>
  <c r="H31" i="2" s="1"/>
  <c r="H68" i="2"/>
  <c r="H67" i="2" s="1"/>
  <c r="G67" i="2"/>
  <c r="F79" i="2"/>
  <c r="K11" i="20" s="1"/>
  <c r="H54" i="2"/>
  <c r="H53" i="2" s="1"/>
  <c r="G53" i="2"/>
  <c r="H40" i="2"/>
  <c r="H39" i="2" s="1"/>
  <c r="H43" i="2" s="1"/>
  <c r="G39" i="2"/>
  <c r="G43" i="2" s="1"/>
  <c r="J40" i="33"/>
  <c r="H38" i="33"/>
  <c r="J37" i="1"/>
  <c r="L37" i="1"/>
  <c r="L48" i="1"/>
  <c r="J46" i="1"/>
  <c r="F28" i="33"/>
  <c r="F27" i="33"/>
  <c r="F31" i="33"/>
  <c r="F32" i="33"/>
  <c r="F26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G19" i="33"/>
  <c r="T21" i="22"/>
  <c r="T22" i="22" s="1"/>
  <c r="M18" i="2"/>
  <c r="M32" i="2"/>
  <c r="M39" i="2"/>
  <c r="M11" i="2"/>
  <c r="M60" i="2"/>
  <c r="M74" i="2"/>
  <c r="M46" i="2"/>
  <c r="M25" i="2"/>
  <c r="M53" i="2"/>
  <c r="M67" i="2"/>
  <c r="H29" i="2"/>
  <c r="G29" i="2"/>
  <c r="S21" i="22"/>
  <c r="S22" i="22" s="1"/>
  <c r="R21" i="22"/>
  <c r="R22" i="22" s="1"/>
  <c r="V21" i="22"/>
  <c r="V22" i="22" s="1"/>
  <c r="H62" i="2"/>
  <c r="H60" i="2" s="1"/>
  <c r="G60" i="2"/>
  <c r="Z47" i="29"/>
  <c r="Y62" i="29"/>
  <c r="T56" i="29"/>
  <c r="L21" i="22"/>
  <c r="L22" i="22" s="1"/>
  <c r="N21" i="22"/>
  <c r="N22" i="22" s="1"/>
  <c r="R79" i="1"/>
  <c r="R69" i="1"/>
  <c r="R52" i="1"/>
  <c r="R94" i="1"/>
  <c r="R74" i="1"/>
  <c r="R41" i="1"/>
  <c r="R83" i="1"/>
  <c r="R46" i="1"/>
  <c r="R21" i="1"/>
  <c r="R63" i="1"/>
  <c r="R104" i="1"/>
  <c r="R27" i="1"/>
  <c r="R99" i="1"/>
  <c r="R24" i="1"/>
  <c r="R112" i="1"/>
  <c r="R107" i="1"/>
  <c r="R88" i="1"/>
  <c r="R17" i="1"/>
  <c r="R12" i="1"/>
  <c r="R62" i="29"/>
  <c r="R65" i="29" s="1"/>
  <c r="P65" i="29"/>
  <c r="H48" i="2"/>
  <c r="H46" i="2" s="1"/>
  <c r="G46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76" i="2"/>
  <c r="H74" i="2" s="1"/>
  <c r="H78" i="2" s="1"/>
  <c r="G74" i="2"/>
  <c r="G78" i="2" s="1"/>
  <c r="Z12" i="29"/>
  <c r="AE12" i="29" s="1"/>
  <c r="T14" i="29"/>
  <c r="H56" i="2"/>
  <c r="H57" i="2" s="1"/>
  <c r="G57" i="2"/>
  <c r="K28" i="28"/>
  <c r="AJ48" i="35" s="1"/>
  <c r="M21" i="22"/>
  <c r="M22" i="22" s="1"/>
  <c r="K21" i="22"/>
  <c r="K22" i="22" s="1"/>
  <c r="S27" i="30"/>
  <c r="T27" i="30" s="1"/>
  <c r="AA19" i="29"/>
  <c r="AF13" i="29"/>
  <c r="AK13" i="29" s="1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F3" i="33"/>
  <c r="E7" i="33"/>
  <c r="K50" i="27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AT24" i="30"/>
  <c r="AR24" i="30"/>
  <c r="AU24" i="30" s="1"/>
  <c r="AV25" i="30"/>
  <c r="AD25" i="30"/>
  <c r="AU25" i="30" s="1"/>
  <c r="F97" i="29"/>
  <c r="F95" i="29"/>
  <c r="F96" i="29" s="1"/>
  <c r="H95" i="29"/>
  <c r="H96" i="29" s="1"/>
  <c r="D96" i="29"/>
  <c r="K18" i="22"/>
  <c r="K19" i="22" s="1"/>
  <c r="S26" i="30"/>
  <c r="T26" i="30" s="1"/>
  <c r="I123" i="1"/>
  <c r="I122" i="1"/>
  <c r="H61" i="35"/>
  <c r="O36" i="30"/>
  <c r="Q36" i="30"/>
  <c r="H36" i="30"/>
  <c r="N36" i="30"/>
  <c r="K36" i="30"/>
  <c r="G36" i="30"/>
  <c r="P36" i="30"/>
  <c r="R36" i="30"/>
  <c r="J36" i="30"/>
  <c r="M36" i="30"/>
  <c r="L36" i="30"/>
  <c r="I47" i="32"/>
  <c r="I53" i="27" s="1"/>
  <c r="AW24" i="30"/>
  <c r="X27" i="35"/>
  <c r="X52" i="35"/>
  <c r="AM6" i="35"/>
  <c r="AX7" i="35" s="1"/>
  <c r="F69" i="35"/>
  <c r="G15" i="27"/>
  <c r="H73" i="35"/>
  <c r="AO8" i="35"/>
  <c r="G80" i="2"/>
  <c r="M15" i="20" s="1"/>
  <c r="F31" i="1"/>
  <c r="F44" i="1" s="1"/>
  <c r="I17" i="20" s="1"/>
  <c r="H91" i="32" s="1"/>
  <c r="V47" i="35" s="1"/>
  <c r="G65" i="35"/>
  <c r="Q21" i="27"/>
  <c r="P2" i="22"/>
  <c r="L21" i="30"/>
  <c r="L45" i="30" s="1"/>
  <c r="L94" i="30"/>
  <c r="J43" i="32"/>
  <c r="J45" i="32"/>
  <c r="L21" i="28"/>
  <c r="V4" i="29" s="1"/>
  <c r="P102" i="29" s="1"/>
  <c r="AK27" i="35"/>
  <c r="AK41" i="35" s="1"/>
  <c r="AK61" i="35" s="1"/>
  <c r="I36" i="27"/>
  <c r="W69" i="35" s="1"/>
  <c r="H46" i="30"/>
  <c r="H52" i="30" s="1"/>
  <c r="L46" i="30"/>
  <c r="L52" i="30" s="1"/>
  <c r="R46" i="30"/>
  <c r="R52" i="30" s="1"/>
  <c r="Q46" i="30"/>
  <c r="Q52" i="30" s="1"/>
  <c r="N46" i="30"/>
  <c r="N52" i="30" s="1"/>
  <c r="G46" i="30"/>
  <c r="G52" i="30" s="1"/>
  <c r="Y34" i="29"/>
  <c r="AF24" i="29"/>
  <c r="AJ24" i="29" s="1"/>
  <c r="O21" i="28"/>
  <c r="AH4" i="29" s="1"/>
  <c r="P49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1" i="35" s="1"/>
  <c r="O28" i="30"/>
  <c r="S23" i="22" s="1"/>
  <c r="S24" i="22" s="1"/>
  <c r="P28" i="30"/>
  <c r="T23" i="22" s="1"/>
  <c r="T24" i="22" s="1"/>
  <c r="I28" i="30"/>
  <c r="M23" i="22" s="1"/>
  <c r="M24" i="22" s="1"/>
  <c r="J28" i="30"/>
  <c r="N23" i="22" s="1"/>
  <c r="N24" i="22" s="1"/>
  <c r="R28" i="30"/>
  <c r="V23" i="22" s="1"/>
  <c r="V24" i="22" s="1"/>
  <c r="N28" i="30"/>
  <c r="R23" i="22" s="1"/>
  <c r="R24" i="22" s="1"/>
  <c r="K28" i="30"/>
  <c r="O23" i="22" s="1"/>
  <c r="O24" i="22" s="1"/>
  <c r="L28" i="30"/>
  <c r="P23" i="22" s="1"/>
  <c r="P24" i="22" s="1"/>
  <c r="H28" i="30"/>
  <c r="L23" i="22" s="1"/>
  <c r="L24" i="22" s="1"/>
  <c r="G28" i="30"/>
  <c r="K23" i="22" s="1"/>
  <c r="K24" i="22" s="1"/>
  <c r="M28" i="30"/>
  <c r="Q23" i="22" s="1"/>
  <c r="Q24" i="22" s="1"/>
  <c r="H80" i="2"/>
  <c r="H79" i="2"/>
  <c r="O11" i="20" s="1"/>
  <c r="K47" i="32" s="1"/>
  <c r="E80" i="2"/>
  <c r="E81" i="2" s="1"/>
  <c r="E83" i="2" s="1"/>
  <c r="H25" i="32"/>
  <c r="C113" i="29" s="1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C18" i="33"/>
  <c r="G11" i="30" s="1"/>
  <c r="D18" i="33"/>
  <c r="H11" i="30" s="1"/>
  <c r="E18" i="33"/>
  <c r="I11" i="30" s="1"/>
  <c r="AK23" i="29"/>
  <c r="AM23" i="29" s="1"/>
  <c r="I34" i="30"/>
  <c r="P34" i="30"/>
  <c r="R34" i="30"/>
  <c r="O34" i="30"/>
  <c r="Q34" i="30"/>
  <c r="L34" i="30"/>
  <c r="K34" i="30"/>
  <c r="G34" i="30"/>
  <c r="J34" i="30"/>
  <c r="N34" i="30"/>
  <c r="M34" i="30"/>
  <c r="H34" i="30"/>
  <c r="N60" i="29"/>
  <c r="N65" i="29" s="1"/>
  <c r="AK26" i="29"/>
  <c r="AM26" i="29" s="1"/>
  <c r="P46" i="30"/>
  <c r="P52" i="30" s="1"/>
  <c r="J46" i="30"/>
  <c r="J52" i="30" s="1"/>
  <c r="O46" i="30"/>
  <c r="O52" i="30" s="1"/>
  <c r="K46" i="30"/>
  <c r="K52" i="30" s="1"/>
  <c r="M46" i="30"/>
  <c r="M52" i="30" s="1"/>
  <c r="AE35" i="29"/>
  <c r="AL21" i="29"/>
  <c r="K30" i="27"/>
  <c r="Y65" i="35" s="1"/>
  <c r="W10" i="35"/>
  <c r="E130" i="29"/>
  <c r="E123" i="29"/>
  <c r="C105" i="29"/>
  <c r="J19" i="32"/>
  <c r="X10" i="35" s="1"/>
  <c r="B27" i="30"/>
  <c r="H18" i="22"/>
  <c r="Y65" i="29"/>
  <c r="M37" i="29"/>
  <c r="AL20" i="29"/>
  <c r="AK20" i="29"/>
  <c r="AM20" i="29" s="1"/>
  <c r="AK24" i="29"/>
  <c r="AM24" i="29" s="1"/>
  <c r="AE34" i="29"/>
  <c r="AL24" i="29"/>
  <c r="AK34" i="29" s="1"/>
  <c r="O24" i="32"/>
  <c r="D27" i="22"/>
  <c r="I27" i="32" s="1"/>
  <c r="J77" i="32"/>
  <c r="J76" i="32" s="1"/>
  <c r="X43" i="35" s="1"/>
  <c r="I20" i="27"/>
  <c r="W59" i="35" s="1"/>
  <c r="E59" i="26"/>
  <c r="E48" i="26" s="1"/>
  <c r="I88" i="32"/>
  <c r="H88" i="32"/>
  <c r="G29" i="30" s="1"/>
  <c r="H29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59" i="26"/>
  <c r="F48" i="26" s="1"/>
  <c r="F38" i="35" s="1"/>
  <c r="H20" i="27"/>
  <c r="V59" i="35" s="1"/>
  <c r="I11" i="1"/>
  <c r="M104" i="29"/>
  <c r="I14" i="20"/>
  <c r="H54" i="35"/>
  <c r="K14" i="20"/>
  <c r="J54" i="35"/>
  <c r="N16" i="20"/>
  <c r="K59" i="35"/>
  <c r="Q112" i="1"/>
  <c r="Q24" i="1"/>
  <c r="Q63" i="1"/>
  <c r="Q46" i="1"/>
  <c r="Q99" i="1"/>
  <c r="Q107" i="1"/>
  <c r="Q83" i="1"/>
  <c r="Q41" i="1"/>
  <c r="Q21" i="1"/>
  <c r="Q79" i="1"/>
  <c r="Q52" i="1"/>
  <c r="Q88" i="1"/>
  <c r="G8" i="2"/>
  <c r="Q17" i="1"/>
  <c r="Q104" i="1"/>
  <c r="Q74" i="1"/>
  <c r="Q94" i="1"/>
  <c r="Q12" i="1"/>
  <c r="Q27" i="1"/>
  <c r="Q69" i="1"/>
  <c r="Q34" i="1"/>
  <c r="H58" i="26"/>
  <c r="H46" i="35" s="1"/>
  <c r="H26" i="20"/>
  <c r="G69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1" i="27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59" i="26"/>
  <c r="G48" i="26" s="1"/>
  <c r="G38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59" i="26"/>
  <c r="D48" i="26" s="1"/>
  <c r="C64" i="26" s="1"/>
  <c r="O30" i="20"/>
  <c r="N73" i="35" s="1"/>
  <c r="J62" i="32"/>
  <c r="X34" i="35" s="1"/>
  <c r="I31" i="1"/>
  <c r="J32" i="1"/>
  <c r="H124" i="1"/>
  <c r="K74" i="2"/>
  <c r="I11" i="27"/>
  <c r="K25" i="2"/>
  <c r="K39" i="2"/>
  <c r="K18" i="2"/>
  <c r="K60" i="2"/>
  <c r="K46" i="2"/>
  <c r="K67" i="2"/>
  <c r="K53" i="2"/>
  <c r="K11" i="2"/>
  <c r="K32" i="2"/>
  <c r="F38" i="2"/>
  <c r="G38" i="2" s="1"/>
  <c r="H38" i="2" s="1"/>
  <c r="I38" i="33"/>
  <c r="K40" i="33"/>
  <c r="S13" i="30"/>
  <c r="T13" i="30" s="1"/>
  <c r="AL13" i="29"/>
  <c r="AL50" i="29"/>
  <c r="AF63" i="29" s="1"/>
  <c r="Z63" i="29"/>
  <c r="AK63" i="29"/>
  <c r="N31" i="29"/>
  <c r="N37" i="29" s="1"/>
  <c r="G79" i="2"/>
  <c r="M11" i="20" s="1"/>
  <c r="L112" i="1"/>
  <c r="H97" i="29" s="1"/>
  <c r="R103" i="29"/>
  <c r="N28" i="28"/>
  <c r="AM48" i="35" s="1"/>
  <c r="AF12" i="29"/>
  <c r="AK12" i="29" s="1"/>
  <c r="Z14" i="29"/>
  <c r="AE14" i="29" s="1"/>
  <c r="AB4" i="29"/>
  <c r="AG19" i="29"/>
  <c r="R13" i="27"/>
  <c r="E3" i="34" s="1"/>
  <c r="H54" i="27"/>
  <c r="H58" i="27"/>
  <c r="H51" i="27"/>
  <c r="H20" i="33"/>
  <c r="G28" i="33"/>
  <c r="G32" i="33"/>
  <c r="G27" i="33"/>
  <c r="G29" i="33"/>
  <c r="G31" i="33"/>
  <c r="G26" i="33"/>
  <c r="G33" i="33"/>
  <c r="M41" i="33" s="1"/>
  <c r="G30" i="33"/>
  <c r="L46" i="1"/>
  <c r="J39" i="33"/>
  <c r="AF47" i="29"/>
  <c r="AE62" i="29"/>
  <c r="T62" i="29"/>
  <c r="Z56" i="29"/>
  <c r="F81" i="2"/>
  <c r="K15" i="20"/>
  <c r="I49" i="27" s="1"/>
  <c r="G3" i="33"/>
  <c r="F8" i="33"/>
  <c r="F18" i="33" s="1"/>
  <c r="J11" i="30" s="1"/>
  <c r="H31" i="30" l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K120" i="1"/>
  <c r="K122" i="1"/>
  <c r="K123" i="1"/>
  <c r="H34" i="33"/>
  <c r="W21" i="35"/>
  <c r="S36" i="30"/>
  <c r="T36" i="30" s="1"/>
  <c r="J49" i="27"/>
  <c r="AM7" i="35" s="1"/>
  <c r="J47" i="32"/>
  <c r="J53" i="27" s="1"/>
  <c r="I73" i="32"/>
  <c r="I71" i="32" s="1"/>
  <c r="W40" i="35" s="1"/>
  <c r="AW25" i="30"/>
  <c r="G30" i="30" s="1"/>
  <c r="H30" i="30" s="1"/>
  <c r="I30" i="30" s="1"/>
  <c r="J30" i="30" s="1"/>
  <c r="K30" i="30" s="1"/>
  <c r="L30" i="30" s="1"/>
  <c r="M30" i="30" s="1"/>
  <c r="N30" i="30" s="1"/>
  <c r="O30" i="30" s="1"/>
  <c r="P30" i="30" s="1"/>
  <c r="Q30" i="30" s="1"/>
  <c r="R30" i="30" s="1"/>
  <c r="D28" i="34"/>
  <c r="Q22" i="27"/>
  <c r="Q32" i="27"/>
  <c r="AU14" i="35" s="1"/>
  <c r="Q31" i="27"/>
  <c r="AU13" i="35" s="1"/>
  <c r="V21" i="35"/>
  <c r="H53" i="27"/>
  <c r="I21" i="20"/>
  <c r="J21" i="20" s="1"/>
  <c r="V57" i="29"/>
  <c r="V39" i="29"/>
  <c r="Q2" i="22"/>
  <c r="K82" i="32"/>
  <c r="K43" i="32"/>
  <c r="H42" i="32"/>
  <c r="V18" i="35" s="1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5" i="30" s="1"/>
  <c r="M94" i="30"/>
  <c r="I2" i="33"/>
  <c r="I19" i="33" s="1"/>
  <c r="L45" i="1"/>
  <c r="S28" i="30"/>
  <c r="T28" i="30" s="1"/>
  <c r="I15" i="20"/>
  <c r="L44" i="1"/>
  <c r="H60" i="35"/>
  <c r="C118" i="29"/>
  <c r="I33" i="32"/>
  <c r="K119" i="1"/>
  <c r="S34" i="30"/>
  <c r="T34" i="30" s="1"/>
  <c r="AL26" i="29"/>
  <c r="AK35" i="29" s="1"/>
  <c r="S46" i="30"/>
  <c r="T46" i="30" s="1"/>
  <c r="G31" i="1"/>
  <c r="D38" i="35"/>
  <c r="E47" i="35"/>
  <c r="E38" i="35"/>
  <c r="D115" i="29"/>
  <c r="K19" i="32"/>
  <c r="E107" i="29"/>
  <c r="H21" i="22"/>
  <c r="B28" i="30"/>
  <c r="AE65" i="29"/>
  <c r="AE16" i="29"/>
  <c r="AF16" i="29"/>
  <c r="AJ16" i="29" s="1"/>
  <c r="J88" i="32"/>
  <c r="G11" i="1"/>
  <c r="F124" i="1"/>
  <c r="L24" i="20"/>
  <c r="K67" i="35" s="1"/>
  <c r="L23" i="20"/>
  <c r="K66" i="35" s="1"/>
  <c r="L30" i="20"/>
  <c r="K74" i="35" s="1"/>
  <c r="L29" i="20"/>
  <c r="K73" i="35" s="1"/>
  <c r="J29" i="20"/>
  <c r="I73" i="35" s="1"/>
  <c r="J24" i="20"/>
  <c r="I67" i="35" s="1"/>
  <c r="J23" i="20"/>
  <c r="I66" i="35" s="1"/>
  <c r="J30" i="20"/>
  <c r="I74" i="35" s="1"/>
  <c r="F47" i="35"/>
  <c r="J57" i="35"/>
  <c r="L18" i="20"/>
  <c r="K61" i="35" s="1"/>
  <c r="H57" i="35"/>
  <c r="K16" i="20"/>
  <c r="J59" i="35" s="1"/>
  <c r="AK7" i="29"/>
  <c r="V37" i="35"/>
  <c r="H67" i="32"/>
  <c r="D47" i="35"/>
  <c r="M18" i="30"/>
  <c r="O104" i="29"/>
  <c r="N54" i="35"/>
  <c r="K88" i="32"/>
  <c r="J58" i="35"/>
  <c r="M14" i="20"/>
  <c r="L54" i="35"/>
  <c r="S14" i="27"/>
  <c r="R14" i="27"/>
  <c r="L58" i="35"/>
  <c r="L17" i="20"/>
  <c r="K60" i="35" s="1"/>
  <c r="J60" i="35"/>
  <c r="H31" i="20"/>
  <c r="Q24" i="27" s="1"/>
  <c r="D29" i="34" s="1"/>
  <c r="F74" i="35"/>
  <c r="P16" i="20"/>
  <c r="O59" i="35" s="1"/>
  <c r="M59" i="35"/>
  <c r="G47" i="35"/>
  <c r="L11" i="2"/>
  <c r="L74" i="2"/>
  <c r="L67" i="2"/>
  <c r="J11" i="27"/>
  <c r="L46" i="2"/>
  <c r="L18" i="2"/>
  <c r="L60" i="2"/>
  <c r="L39" i="2"/>
  <c r="L32" i="2"/>
  <c r="L53" i="2"/>
  <c r="L25" i="2"/>
  <c r="G60" i="32"/>
  <c r="Q23" i="27"/>
  <c r="K51" i="27"/>
  <c r="AO9" i="35" s="1"/>
  <c r="O14" i="20"/>
  <c r="U40" i="27"/>
  <c r="U41" i="27" s="1"/>
  <c r="H81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81" i="2"/>
  <c r="O15" i="20"/>
  <c r="H26" i="32"/>
  <c r="I14" i="32"/>
  <c r="H59" i="26"/>
  <c r="H47" i="35" s="1"/>
  <c r="D105" i="29"/>
  <c r="C123" i="29"/>
  <c r="C130" i="29"/>
  <c r="C117" i="29"/>
  <c r="C125" i="29" s="1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45" i="2"/>
  <c r="L40" i="33"/>
  <c r="I68" i="32"/>
  <c r="T31" i="29"/>
  <c r="U13" i="27"/>
  <c r="H3" i="34" s="1"/>
  <c r="N21" i="30"/>
  <c r="N45" i="30" s="1"/>
  <c r="O9" i="30"/>
  <c r="N94" i="30"/>
  <c r="J2" i="33"/>
  <c r="R2" i="22"/>
  <c r="M18" i="20"/>
  <c r="L61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7" i="33"/>
  <c r="H28" i="33"/>
  <c r="I20" i="33"/>
  <c r="H29" i="33"/>
  <c r="H31" i="33"/>
  <c r="H26" i="33"/>
  <c r="H30" i="33"/>
  <c r="H33" i="33"/>
  <c r="N41" i="33" s="1"/>
  <c r="J18" i="20"/>
  <c r="I61" i="35" s="1"/>
  <c r="I16" i="20"/>
  <c r="J17" i="20"/>
  <c r="I60" i="35" s="1"/>
  <c r="K58" i="27"/>
  <c r="AO16" i="35" s="1"/>
  <c r="Q28" i="28"/>
  <c r="AP48" i="35" s="1"/>
  <c r="K54" i="27"/>
  <c r="AO12" i="35" s="1"/>
  <c r="AH39" i="29"/>
  <c r="AH57" i="29"/>
  <c r="T13" i="27"/>
  <c r="G3" i="34" s="1"/>
  <c r="J51" i="27"/>
  <c r="AM9" i="35" s="1"/>
  <c r="J58" i="27"/>
  <c r="AM16" i="35" s="1"/>
  <c r="J54" i="27"/>
  <c r="AM12" i="35" s="1"/>
  <c r="K39" i="33"/>
  <c r="AK62" i="29"/>
  <c r="Z62" i="29"/>
  <c r="AL47" i="29"/>
  <c r="AF56" i="29"/>
  <c r="J38" i="33"/>
  <c r="AB39" i="29"/>
  <c r="AB57" i="29"/>
  <c r="R102" i="29"/>
  <c r="G9" i="33"/>
  <c r="G18" i="33" s="1"/>
  <c r="K11" i="30" s="1"/>
  <c r="H3" i="33"/>
  <c r="M79" i="1" l="1"/>
  <c r="M122" i="1"/>
  <c r="M123" i="1"/>
  <c r="X21" i="35"/>
  <c r="R80" i="27"/>
  <c r="R86" i="27" s="1"/>
  <c r="N58" i="35"/>
  <c r="K49" i="27"/>
  <c r="AO7" i="35" s="1"/>
  <c r="H49" i="27"/>
  <c r="U22" i="30"/>
  <c r="Q33" i="27"/>
  <c r="AU15" i="35" s="1"/>
  <c r="H59" i="35"/>
  <c r="U24" i="30"/>
  <c r="I24" i="30" s="1"/>
  <c r="M14" i="22" s="1"/>
  <c r="M15" i="22" s="1"/>
  <c r="V36" i="35"/>
  <c r="Y21" i="35"/>
  <c r="K53" i="27"/>
  <c r="I25" i="32"/>
  <c r="D113" i="29" s="1"/>
  <c r="J15" i="20"/>
  <c r="K58" i="35"/>
  <c r="AF60" i="29"/>
  <c r="J73" i="32"/>
  <c r="J71" i="32" s="1"/>
  <c r="X40" i="35" s="1"/>
  <c r="H41" i="32"/>
  <c r="V17" i="35" s="1"/>
  <c r="AI11" i="35"/>
  <c r="O17" i="20"/>
  <c r="N60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J39" i="32"/>
  <c r="X16" i="35" s="1"/>
  <c r="AF43" i="29"/>
  <c r="H49" i="28"/>
  <c r="AK14" i="29"/>
  <c r="K39" i="28"/>
  <c r="AL17" i="29"/>
  <c r="I34" i="33"/>
  <c r="M31" i="1"/>
  <c r="M11" i="1"/>
  <c r="M120" i="1"/>
  <c r="M119" i="1"/>
  <c r="H58" i="35"/>
  <c r="D121" i="29"/>
  <c r="I30" i="32"/>
  <c r="U32" i="35"/>
  <c r="H58" i="32"/>
  <c r="V30" i="35" s="1"/>
  <c r="D123" i="29"/>
  <c r="D130" i="29"/>
  <c r="Y10" i="35"/>
  <c r="F107" i="29"/>
  <c r="B29" i="30"/>
  <c r="B30" i="30" s="1"/>
  <c r="B31" i="30" s="1"/>
  <c r="B32" i="30" s="1"/>
  <c r="B33" i="30" s="1"/>
  <c r="B34" i="30" s="1"/>
  <c r="B35" i="30" s="1"/>
  <c r="B36" i="30" s="1"/>
  <c r="B37" i="30" s="1"/>
  <c r="H23" i="22"/>
  <c r="AK16" i="29"/>
  <c r="AM16" i="29" s="1"/>
  <c r="I56" i="27"/>
  <c r="M117" i="1"/>
  <c r="M87" i="1"/>
  <c r="O18" i="20"/>
  <c r="N61" i="35" s="1"/>
  <c r="AL16" i="29"/>
  <c r="AJ28" i="29"/>
  <c r="P30" i="20"/>
  <c r="O74" i="35" s="1"/>
  <c r="P29" i="20"/>
  <c r="O73" i="35" s="1"/>
  <c r="P24" i="20"/>
  <c r="O67" i="35" s="1"/>
  <c r="P23" i="20"/>
  <c r="O66" i="35" s="1"/>
  <c r="N24" i="20"/>
  <c r="M67" i="35" s="1"/>
  <c r="N30" i="20"/>
  <c r="M74" i="35" s="1"/>
  <c r="N29" i="20"/>
  <c r="M73" i="35" s="1"/>
  <c r="N23" i="20"/>
  <c r="M66" i="35" s="1"/>
  <c r="N57" i="35"/>
  <c r="H76" i="35"/>
  <c r="J76" i="35"/>
  <c r="L57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4" i="35"/>
  <c r="H64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48" i="26"/>
  <c r="H38" i="35" s="1"/>
  <c r="J48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E105" i="29" s="1"/>
  <c r="I37" i="30"/>
  <c r="M30" i="22" s="1"/>
  <c r="R37" i="30"/>
  <c r="V30" i="22" s="1"/>
  <c r="M37" i="30"/>
  <c r="Q30" i="22" s="1"/>
  <c r="L37" i="30"/>
  <c r="P30" i="22" s="1"/>
  <c r="G37" i="30"/>
  <c r="K30" i="22" s="1"/>
  <c r="N37" i="30"/>
  <c r="R30" i="22" s="1"/>
  <c r="K37" i="30"/>
  <c r="O30" i="22" s="1"/>
  <c r="Q37" i="30"/>
  <c r="U30" i="22" s="1"/>
  <c r="P37" i="30"/>
  <c r="T30" i="22" s="1"/>
  <c r="J37" i="30"/>
  <c r="N30" i="22" s="1"/>
  <c r="H37" i="30"/>
  <c r="L30" i="22" s="1"/>
  <c r="O37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45" i="2"/>
  <c r="F52" i="2"/>
  <c r="G52" i="2" s="1"/>
  <c r="H52" i="2" s="1"/>
  <c r="L39" i="33"/>
  <c r="M40" i="33"/>
  <c r="P9" i="30"/>
  <c r="S2" i="22"/>
  <c r="K2" i="33"/>
  <c r="O21" i="30"/>
  <c r="O45" i="30" s="1"/>
  <c r="O94" i="30"/>
  <c r="J42" i="32"/>
  <c r="X18" i="35" s="1"/>
  <c r="P15" i="20"/>
  <c r="O58" i="35" s="1"/>
  <c r="O16" i="20"/>
  <c r="N59" i="35" s="1"/>
  <c r="AF62" i="29"/>
  <c r="AL56" i="29"/>
  <c r="K73" i="32" s="1"/>
  <c r="K71" i="32" s="1"/>
  <c r="Y40" i="35" s="1"/>
  <c r="J68" i="32"/>
  <c r="Z31" i="29"/>
  <c r="Z37" i="29" s="1"/>
  <c r="I28" i="33"/>
  <c r="I26" i="33"/>
  <c r="I31" i="33"/>
  <c r="I32" i="33"/>
  <c r="I30" i="33"/>
  <c r="I33" i="33"/>
  <c r="I29" i="33"/>
  <c r="J20" i="33"/>
  <c r="I27" i="33"/>
  <c r="N15" i="20"/>
  <c r="M58" i="35" s="1"/>
  <c r="M16" i="20"/>
  <c r="N18" i="20"/>
  <c r="M61" i="35" s="1"/>
  <c r="K38" i="33"/>
  <c r="J34" i="33"/>
  <c r="J19" i="33"/>
  <c r="H10" i="33"/>
  <c r="H18" i="33" s="1"/>
  <c r="L11" i="30" s="1"/>
  <c r="S11" i="30" s="1"/>
  <c r="I3" i="33"/>
  <c r="S80" i="27" l="1"/>
  <c r="S86" i="27" s="1"/>
  <c r="R75" i="27"/>
  <c r="Q77" i="27"/>
  <c r="Q82" i="27" s="1"/>
  <c r="Q16" i="27" s="1"/>
  <c r="B38" i="30"/>
  <c r="B39" i="30" s="1"/>
  <c r="B40" i="30" s="1"/>
  <c r="B41" i="30" s="1"/>
  <c r="B42" i="30" s="1"/>
  <c r="H30" i="22"/>
  <c r="W36" i="35"/>
  <c r="S79" i="27"/>
  <c r="R81" i="27"/>
  <c r="AF65" i="29"/>
  <c r="AU19" i="35"/>
  <c r="I22" i="32"/>
  <c r="W11" i="35" s="1"/>
  <c r="I58" i="35"/>
  <c r="I60" i="27"/>
  <c r="AK18" i="35" s="1"/>
  <c r="P17" i="20"/>
  <c r="O60" i="35" s="1"/>
  <c r="D117" i="29"/>
  <c r="D125" i="29" s="1"/>
  <c r="K21" i="20"/>
  <c r="L21" i="20" s="1"/>
  <c r="K64" i="35" s="1"/>
  <c r="P18" i="20"/>
  <c r="O61" i="35" s="1"/>
  <c r="I81" i="32"/>
  <c r="I80" i="32" s="1"/>
  <c r="W45" i="35" s="1"/>
  <c r="AK14" i="35"/>
  <c r="H81" i="32"/>
  <c r="H80" i="32" s="1"/>
  <c r="V45" i="35" s="1"/>
  <c r="AI14" i="35"/>
  <c r="K39" i="32"/>
  <c r="Y16" i="35" s="1"/>
  <c r="H39" i="32"/>
  <c r="AI7" i="35"/>
  <c r="I25" i="20"/>
  <c r="J25" i="20" s="1"/>
  <c r="I68" i="35" s="1"/>
  <c r="AG72" i="35"/>
  <c r="N39" i="28"/>
  <c r="K49" i="28"/>
  <c r="AJ72" i="35" s="1"/>
  <c r="W13" i="35"/>
  <c r="J33" i="32"/>
  <c r="D118" i="29"/>
  <c r="K77" i="32"/>
  <c r="K76" i="32" s="1"/>
  <c r="Y43" i="35" s="1"/>
  <c r="I26" i="32"/>
  <c r="W12" i="35" s="1"/>
  <c r="U28" i="35"/>
  <c r="N76" i="35"/>
  <c r="L76" i="35"/>
  <c r="G98" i="32"/>
  <c r="Q35" i="27" s="1"/>
  <c r="D110" i="29"/>
  <c r="J25" i="32"/>
  <c r="J22" i="32" s="1"/>
  <c r="X11" i="35" s="1"/>
  <c r="J67" i="32"/>
  <c r="X37" i="35"/>
  <c r="N17" i="20"/>
  <c r="M60" i="35" s="1"/>
  <c r="L60" i="35"/>
  <c r="B127" i="29"/>
  <c r="J56" i="27"/>
  <c r="AM14" i="35" s="1"/>
  <c r="L59" i="35"/>
  <c r="H13" i="32"/>
  <c r="V7" i="35" s="1"/>
  <c r="V9" i="35"/>
  <c r="O24" i="30"/>
  <c r="S14" i="22" s="1"/>
  <c r="S15" i="22" s="1"/>
  <c r="J14" i="32"/>
  <c r="K17" i="32" s="1"/>
  <c r="R24" i="30"/>
  <c r="V14" i="22" s="1"/>
  <c r="V15" i="22" s="1"/>
  <c r="Q24" i="30"/>
  <c r="U14" i="22" s="1"/>
  <c r="U15" i="22" s="1"/>
  <c r="M24" i="30"/>
  <c r="Q14" i="22" s="1"/>
  <c r="Q15" i="22" s="1"/>
  <c r="N24" i="30"/>
  <c r="R14" i="22" s="1"/>
  <c r="R15" i="22" s="1"/>
  <c r="L24" i="30"/>
  <c r="P14" i="22" s="1"/>
  <c r="P15" i="22" s="1"/>
  <c r="H24" i="30"/>
  <c r="L14" i="22" s="1"/>
  <c r="L15" i="22" s="1"/>
  <c r="G24" i="30"/>
  <c r="J24" i="30"/>
  <c r="N14" i="22" s="1"/>
  <c r="N15" i="22" s="1"/>
  <c r="K24" i="30"/>
  <c r="O14" i="22" s="1"/>
  <c r="O15" i="22" s="1"/>
  <c r="P24" i="30"/>
  <c r="T14" i="22" s="1"/>
  <c r="T15" i="22" s="1"/>
  <c r="K56" i="27"/>
  <c r="AO14" i="35" s="1"/>
  <c r="H60" i="27"/>
  <c r="AI18" i="35" s="1"/>
  <c r="C106" i="29"/>
  <c r="S37" i="30"/>
  <c r="T37" i="30" s="1"/>
  <c r="AK33" i="29"/>
  <c r="AL28" i="29"/>
  <c r="K68" i="32" s="1"/>
  <c r="Q24" i="28"/>
  <c r="AP44" i="35" s="1"/>
  <c r="AP59" i="35" s="1"/>
  <c r="AG28" i="29"/>
  <c r="F59" i="2"/>
  <c r="G59" i="2" s="1"/>
  <c r="H59" i="2" s="1"/>
  <c r="H45" i="2"/>
  <c r="K34" i="33"/>
  <c r="K19" i="33"/>
  <c r="M39" i="33"/>
  <c r="K20" i="33"/>
  <c r="J28" i="33"/>
  <c r="J32" i="33"/>
  <c r="J30" i="33"/>
  <c r="J26" i="33"/>
  <c r="J29" i="33"/>
  <c r="J33" i="33"/>
  <c r="J27" i="33"/>
  <c r="J31" i="33"/>
  <c r="L2" i="33"/>
  <c r="P94" i="30"/>
  <c r="Q9" i="30"/>
  <c r="T2" i="22"/>
  <c r="P21" i="30"/>
  <c r="P45" i="30" s="1"/>
  <c r="L38" i="33"/>
  <c r="N40" i="33"/>
  <c r="J3" i="33"/>
  <c r="I11" i="33"/>
  <c r="I18" i="33" s="1"/>
  <c r="S81" i="27" l="1"/>
  <c r="T79" i="27"/>
  <c r="T80" i="27"/>
  <c r="T86" i="27" s="1"/>
  <c r="X36" i="35"/>
  <c r="Q38" i="27"/>
  <c r="AU20" i="35" s="1"/>
  <c r="AT20" i="35"/>
  <c r="I39" i="32"/>
  <c r="K19" i="20" s="1"/>
  <c r="J62" i="35" s="1"/>
  <c r="AK7" i="35"/>
  <c r="O19" i="20"/>
  <c r="P19" i="20" s="1"/>
  <c r="O62" i="35" s="1"/>
  <c r="V16" i="35"/>
  <c r="K81" i="32"/>
  <c r="K80" i="32" s="1"/>
  <c r="Y45" i="35" s="1"/>
  <c r="J81" i="32"/>
  <c r="J80" i="32" s="1"/>
  <c r="X45" i="35" s="1"/>
  <c r="I19" i="20"/>
  <c r="J19" i="20" s="1"/>
  <c r="I62" i="35" s="1"/>
  <c r="H68" i="35"/>
  <c r="N49" i="28"/>
  <c r="Q39" i="28"/>
  <c r="K25" i="20"/>
  <c r="E121" i="29"/>
  <c r="J30" i="32"/>
  <c r="J29" i="32"/>
  <c r="D114" i="29"/>
  <c r="J64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4" i="30"/>
  <c r="T24" i="30" s="1"/>
  <c r="K14" i="22"/>
  <c r="K15" i="22" s="1"/>
  <c r="H61" i="27"/>
  <c r="I61" i="27"/>
  <c r="K25" i="32"/>
  <c r="F113" i="29" s="1"/>
  <c r="E110" i="29"/>
  <c r="K14" i="32"/>
  <c r="Y8" i="35" s="1"/>
  <c r="F105" i="29"/>
  <c r="F73" i="2"/>
  <c r="G73" i="2" s="1"/>
  <c r="H73" i="2" s="1"/>
  <c r="F66" i="2"/>
  <c r="G66" i="2" s="1"/>
  <c r="H66" i="2" s="1"/>
  <c r="N39" i="33"/>
  <c r="Q94" i="30"/>
  <c r="Q21" i="30"/>
  <c r="Q45" i="30" s="1"/>
  <c r="U2" i="22"/>
  <c r="R9" i="30"/>
  <c r="M2" i="33"/>
  <c r="L19" i="33"/>
  <c r="L34" i="33"/>
  <c r="M38" i="33"/>
  <c r="L20" i="33"/>
  <c r="K26" i="33"/>
  <c r="K27" i="33"/>
  <c r="K31" i="33"/>
  <c r="K30" i="33"/>
  <c r="K32" i="33"/>
  <c r="K33" i="33"/>
  <c r="K29" i="33"/>
  <c r="K28" i="33"/>
  <c r="K3" i="33"/>
  <c r="J12" i="33"/>
  <c r="J18" i="33" s="1"/>
  <c r="T81" i="27" l="1"/>
  <c r="U79" i="27"/>
  <c r="U80" i="27"/>
  <c r="Y36" i="35"/>
  <c r="AU17" i="35"/>
  <c r="Q42" i="27"/>
  <c r="L19" i="20"/>
  <c r="K62" i="35" s="1"/>
  <c r="K20" i="20"/>
  <c r="S18" i="27" s="1"/>
  <c r="W16" i="35"/>
  <c r="M19" i="20"/>
  <c r="O20" i="20"/>
  <c r="N63" i="35" s="1"/>
  <c r="N62" i="35"/>
  <c r="Q36" i="27"/>
  <c r="AU18" i="35" s="1"/>
  <c r="H62" i="35"/>
  <c r="I20" i="20"/>
  <c r="J20" i="20" s="1"/>
  <c r="I63" i="35" s="1"/>
  <c r="E117" i="29"/>
  <c r="E125" i="29" s="1"/>
  <c r="M21" i="20"/>
  <c r="I28" i="27"/>
  <c r="W63" i="35" s="1"/>
  <c r="AK19" i="35"/>
  <c r="H28" i="27"/>
  <c r="V63" i="35" s="1"/>
  <c r="AI19" i="35"/>
  <c r="J68" i="35"/>
  <c r="L25" i="20"/>
  <c r="K68" i="35" s="1"/>
  <c r="M25" i="20"/>
  <c r="AM72" i="35"/>
  <c r="Q49" i="28"/>
  <c r="AP72" i="35" s="1"/>
  <c r="K33" i="32"/>
  <c r="E118" i="29"/>
  <c r="X13" i="35"/>
  <c r="J26" i="32"/>
  <c r="E114" i="29" s="1"/>
  <c r="D106" i="29"/>
  <c r="I13" i="32"/>
  <c r="W7" i="35" s="1"/>
  <c r="D52" i="34"/>
  <c r="D54" i="34"/>
  <c r="H82" i="2"/>
  <c r="H83" i="2" s="1"/>
  <c r="K22" i="32"/>
  <c r="G82" i="2"/>
  <c r="G83" i="2" s="1"/>
  <c r="F82" i="2"/>
  <c r="F83" i="2" s="1"/>
  <c r="N38" i="33"/>
  <c r="R21" i="30"/>
  <c r="R45" i="30" s="1"/>
  <c r="V2" i="22"/>
  <c r="N2" i="33"/>
  <c r="R94" i="30"/>
  <c r="L29" i="33"/>
  <c r="M20" i="33"/>
  <c r="L26" i="33"/>
  <c r="L31" i="33"/>
  <c r="L27" i="33"/>
  <c r="L32" i="33"/>
  <c r="L30" i="33"/>
  <c r="L33" i="33"/>
  <c r="L28" i="33"/>
  <c r="M19" i="33"/>
  <c r="M34" i="33"/>
  <c r="L3" i="33"/>
  <c r="K13" i="33"/>
  <c r="K18" i="33" s="1"/>
  <c r="S12" i="30" l="1"/>
  <c r="S14" i="30" s="1"/>
  <c r="U81" i="27"/>
  <c r="U86" i="27"/>
  <c r="L20" i="20"/>
  <c r="S19" i="27" s="1"/>
  <c r="F27" i="34" s="1"/>
  <c r="J63" i="35"/>
  <c r="K22" i="20"/>
  <c r="S20" i="27" s="1"/>
  <c r="U18" i="27"/>
  <c r="P20" i="20"/>
  <c r="U19" i="27" s="1"/>
  <c r="H27" i="34" s="1"/>
  <c r="N19" i="20"/>
  <c r="M62" i="35" s="1"/>
  <c r="M20" i="20"/>
  <c r="N20" i="20" s="1"/>
  <c r="L62" i="35"/>
  <c r="I22" i="20"/>
  <c r="J22" i="20" s="1"/>
  <c r="R18" i="27"/>
  <c r="H63" i="35"/>
  <c r="R19" i="27"/>
  <c r="E27" i="34" s="1"/>
  <c r="Q43" i="27"/>
  <c r="N21" i="20"/>
  <c r="M64" i="35" s="1"/>
  <c r="L68" i="35"/>
  <c r="N25" i="20"/>
  <c r="M68" i="35" s="1"/>
  <c r="O25" i="20"/>
  <c r="F121" i="29"/>
  <c r="K30" i="32"/>
  <c r="K29" i="32"/>
  <c r="J18" i="32"/>
  <c r="E106" i="29" s="1"/>
  <c r="X12" i="35"/>
  <c r="L64" i="35"/>
  <c r="H39" i="27"/>
  <c r="R51" i="27"/>
  <c r="F110" i="29"/>
  <c r="Y11" i="35"/>
  <c r="J84" i="32"/>
  <c r="H84" i="32"/>
  <c r="H37" i="27" s="1"/>
  <c r="I84" i="32"/>
  <c r="O12" i="30"/>
  <c r="S3" i="22" s="1"/>
  <c r="S4" i="22" s="1"/>
  <c r="R12" i="30"/>
  <c r="V3" i="22" s="1"/>
  <c r="V4" i="22" s="1"/>
  <c r="L12" i="30"/>
  <c r="P3" i="22" s="1"/>
  <c r="P4" i="22" s="1"/>
  <c r="M12" i="30"/>
  <c r="G12" i="30"/>
  <c r="K12" i="30"/>
  <c r="O3" i="22" s="1"/>
  <c r="O4" i="22" s="1"/>
  <c r="H12" i="30"/>
  <c r="L3" i="22" s="1"/>
  <c r="L4" i="22" s="1"/>
  <c r="S33" i="30"/>
  <c r="N20" i="33"/>
  <c r="M32" i="33"/>
  <c r="M31" i="33"/>
  <c r="M33" i="33"/>
  <c r="M27" i="33"/>
  <c r="M28" i="33"/>
  <c r="M30" i="33"/>
  <c r="M29" i="33"/>
  <c r="M26" i="33"/>
  <c r="N19" i="33"/>
  <c r="N34" i="33"/>
  <c r="M3" i="33"/>
  <c r="L14" i="33"/>
  <c r="L18" i="33" s="1"/>
  <c r="I12" i="30" l="1"/>
  <c r="M3" i="22" s="1"/>
  <c r="M4" i="22" s="1"/>
  <c r="N12" i="30"/>
  <c r="P12" i="30"/>
  <c r="T3" i="22" s="1"/>
  <c r="T4" i="22" s="1"/>
  <c r="J12" i="30"/>
  <c r="N3" i="22" s="1"/>
  <c r="N4" i="22" s="1"/>
  <c r="Q12" i="30"/>
  <c r="U3" i="22" s="1"/>
  <c r="U4" i="22" s="1"/>
  <c r="K63" i="35"/>
  <c r="L22" i="20"/>
  <c r="S21" i="27" s="1"/>
  <c r="K26" i="20"/>
  <c r="J69" i="35" s="1"/>
  <c r="J65" i="35"/>
  <c r="T19" i="27"/>
  <c r="G27" i="34" s="1"/>
  <c r="M63" i="35"/>
  <c r="O63" i="35"/>
  <c r="L63" i="35"/>
  <c r="T18" i="27"/>
  <c r="M22" i="20"/>
  <c r="N22" i="20" s="1"/>
  <c r="T21" i="27" s="1"/>
  <c r="I26" i="20"/>
  <c r="I27" i="20" s="1"/>
  <c r="R20" i="27"/>
  <c r="I65" i="35"/>
  <c r="R21" i="27"/>
  <c r="H65" i="35"/>
  <c r="F117" i="29"/>
  <c r="F125" i="29" s="1"/>
  <c r="O21" i="20"/>
  <c r="N64" i="35" s="1"/>
  <c r="N68" i="35"/>
  <c r="P25" i="20"/>
  <c r="O68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3" i="22"/>
  <c r="K4" i="22" s="1"/>
  <c r="K14" i="30"/>
  <c r="K22" i="30" s="1"/>
  <c r="O10" i="22" s="1"/>
  <c r="O11" i="22" s="1"/>
  <c r="O25" i="22" s="1"/>
  <c r="R14" i="30"/>
  <c r="R22" i="30" s="1"/>
  <c r="V10" i="22" s="1"/>
  <c r="V11" i="22" s="1"/>
  <c r="V25" i="22" s="1"/>
  <c r="N14" i="30"/>
  <c r="N22" i="30" s="1"/>
  <c r="R10" i="22" s="1"/>
  <c r="R11" i="22" s="1"/>
  <c r="R25" i="22" s="1"/>
  <c r="M14" i="30"/>
  <c r="M22" i="30" s="1"/>
  <c r="Q10" i="22" s="1"/>
  <c r="Q11" i="22" s="1"/>
  <c r="Q25" i="22" s="1"/>
  <c r="H14" i="30"/>
  <c r="H22" i="30" s="1"/>
  <c r="Q14" i="30"/>
  <c r="Q22" i="30" s="1"/>
  <c r="U10" i="22" s="1"/>
  <c r="U11" i="22" s="1"/>
  <c r="U25" i="22" s="1"/>
  <c r="L14" i="30"/>
  <c r="L22" i="30" s="1"/>
  <c r="I14" i="30"/>
  <c r="I22" i="30" s="1"/>
  <c r="M10" i="22" s="1"/>
  <c r="M11" i="22" s="1"/>
  <c r="M25" i="22" s="1"/>
  <c r="O14" i="30"/>
  <c r="O22" i="30" s="1"/>
  <c r="J14" i="30"/>
  <c r="J22" i="30" s="1"/>
  <c r="G14" i="30"/>
  <c r="G22" i="30" s="1"/>
  <c r="K10" i="22" s="1"/>
  <c r="K11" i="22" s="1"/>
  <c r="K25" i="22" s="1"/>
  <c r="P14" i="30"/>
  <c r="P22" i="30" s="1"/>
  <c r="T10" i="22" s="1"/>
  <c r="T11" i="22" s="1"/>
  <c r="T25" i="22" s="1"/>
  <c r="Q3" i="22"/>
  <c r="Q4" i="22" s="1"/>
  <c r="R3" i="22"/>
  <c r="R4" i="22" s="1"/>
  <c r="S31" i="30"/>
  <c r="N26" i="33"/>
  <c r="N28" i="33"/>
  <c r="N32" i="33"/>
  <c r="N33" i="33"/>
  <c r="N27" i="33"/>
  <c r="N29" i="33"/>
  <c r="N31" i="33"/>
  <c r="N30" i="33"/>
  <c r="M16" i="33"/>
  <c r="M15" i="33"/>
  <c r="N3" i="33"/>
  <c r="N16" i="33" s="1"/>
  <c r="N18" i="33" s="1"/>
  <c r="E28" i="34" l="1"/>
  <c r="R22" i="27"/>
  <c r="G28" i="34"/>
  <c r="T22" i="27"/>
  <c r="F28" i="34"/>
  <c r="S22" i="27"/>
  <c r="V31" i="35"/>
  <c r="K65" i="35"/>
  <c r="L26" i="20"/>
  <c r="K69" i="35" s="1"/>
  <c r="K27" i="20"/>
  <c r="R74" i="27"/>
  <c r="M65" i="35"/>
  <c r="M26" i="20"/>
  <c r="N26" i="20" s="1"/>
  <c r="M69" i="35" s="1"/>
  <c r="T20" i="27"/>
  <c r="L65" i="35"/>
  <c r="J26" i="20"/>
  <c r="I69" i="35" s="1"/>
  <c r="H69" i="35"/>
  <c r="P21" i="20"/>
  <c r="O64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S22" i="30"/>
  <c r="T22" i="30" s="1"/>
  <c r="C21" i="33"/>
  <c r="C24" i="33" s="1"/>
  <c r="C25" i="33" s="1"/>
  <c r="E37" i="33" s="1"/>
  <c r="K5" i="22"/>
  <c r="K6" i="22" s="1"/>
  <c r="K9" i="22" s="1"/>
  <c r="K26" i="22" s="1"/>
  <c r="I29" i="30" s="1"/>
  <c r="J21" i="33"/>
  <c r="R5" i="22"/>
  <c r="R6" i="22" s="1"/>
  <c r="R9" i="22" s="1"/>
  <c r="R26" i="22" s="1"/>
  <c r="P29" i="30" s="1"/>
  <c r="N5" i="22"/>
  <c r="N6" i="22" s="1"/>
  <c r="N9" i="22" s="1"/>
  <c r="F21" i="33"/>
  <c r="F24" i="33" s="1"/>
  <c r="F25" i="33" s="1"/>
  <c r="H37" i="33" s="1"/>
  <c r="N21" i="33"/>
  <c r="V5" i="22"/>
  <c r="V6" i="22" s="1"/>
  <c r="V9" i="22" s="1"/>
  <c r="V26" i="22" s="1"/>
  <c r="K21" i="33"/>
  <c r="K24" i="33" s="1"/>
  <c r="K25" i="33" s="1"/>
  <c r="M37" i="33" s="1"/>
  <c r="S5" i="22"/>
  <c r="S6" i="22" s="1"/>
  <c r="S9" i="22" s="1"/>
  <c r="G21" i="33"/>
  <c r="O5" i="22"/>
  <c r="O6" i="22" s="1"/>
  <c r="O9" i="22" s="1"/>
  <c r="O26" i="22" s="1"/>
  <c r="M29" i="30" s="1"/>
  <c r="P10" i="22"/>
  <c r="P11" i="22" s="1"/>
  <c r="P25" i="22" s="1"/>
  <c r="M5" i="22"/>
  <c r="M6" i="22" s="1"/>
  <c r="M9" i="22" s="1"/>
  <c r="M26" i="22" s="1"/>
  <c r="K29" i="30" s="1"/>
  <c r="E21" i="33"/>
  <c r="E24" i="33" s="1"/>
  <c r="E25" i="33" s="1"/>
  <c r="G37" i="33" s="1"/>
  <c r="S10" i="22"/>
  <c r="S11" i="22" s="1"/>
  <c r="S25" i="22" s="1"/>
  <c r="P5" i="22"/>
  <c r="P6" i="22" s="1"/>
  <c r="P9" i="22" s="1"/>
  <c r="H21" i="33"/>
  <c r="N10" i="22"/>
  <c r="N11" i="22" s="1"/>
  <c r="N25" i="22" s="1"/>
  <c r="D21" i="33"/>
  <c r="L5" i="22"/>
  <c r="L6" i="22" s="1"/>
  <c r="L9" i="22" s="1"/>
  <c r="L10" i="22"/>
  <c r="L11" i="22" s="1"/>
  <c r="L25" i="22" s="1"/>
  <c r="M21" i="33"/>
  <c r="U5" i="22"/>
  <c r="U6" i="22" s="1"/>
  <c r="U9" i="22" s="1"/>
  <c r="U26" i="22" s="1"/>
  <c r="L21" i="33"/>
  <c r="L24" i="33" s="1"/>
  <c r="L25" i="33" s="1"/>
  <c r="N37" i="33" s="1"/>
  <c r="T5" i="22"/>
  <c r="T6" i="22" s="1"/>
  <c r="T9" i="22" s="1"/>
  <c r="T26" i="22" s="1"/>
  <c r="R29" i="30" s="1"/>
  <c r="I21" i="33"/>
  <c r="Q5" i="22"/>
  <c r="Q6" i="22" s="1"/>
  <c r="Q9" i="22" s="1"/>
  <c r="Q26" i="22" s="1"/>
  <c r="O29" i="30" s="1"/>
  <c r="M18" i="33"/>
  <c r="S32" i="30"/>
  <c r="J71" i="35" l="1"/>
  <c r="S74" i="27"/>
  <c r="H71" i="35"/>
  <c r="U38" i="30"/>
  <c r="P38" i="30" s="1"/>
  <c r="P43" i="30" s="1"/>
  <c r="I15" i="27"/>
  <c r="S31" i="27" s="1"/>
  <c r="AW13" i="35" s="1"/>
  <c r="L27" i="20"/>
  <c r="K71" i="35" s="1"/>
  <c r="H15" i="27"/>
  <c r="V54" i="35" s="1"/>
  <c r="K31" i="20"/>
  <c r="D128" i="29" s="1"/>
  <c r="I31" i="20"/>
  <c r="R52" i="27" s="1"/>
  <c r="J27" i="20"/>
  <c r="I71" i="35" s="1"/>
  <c r="L69" i="35"/>
  <c r="M27" i="20"/>
  <c r="N27" i="20" s="1"/>
  <c r="M71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5" i="35"/>
  <c r="O26" i="20"/>
  <c r="N69" i="35" s="1"/>
  <c r="P26" i="22"/>
  <c r="N29" i="30" s="1"/>
  <c r="L26" i="22"/>
  <c r="J29" i="30" s="1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Q29" i="30" s="1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L29" i="30" s="1"/>
  <c r="C22" i="33"/>
  <c r="C35" i="33" s="1"/>
  <c r="C42" i="33" s="1"/>
  <c r="G16" i="30" s="1"/>
  <c r="G19" i="30" s="1"/>
  <c r="S30" i="30"/>
  <c r="S32" i="27" l="1"/>
  <c r="AW14" i="35" s="1"/>
  <c r="R32" i="27"/>
  <c r="AV14" i="35" s="1"/>
  <c r="T74" i="27"/>
  <c r="N23" i="33"/>
  <c r="N38" i="30"/>
  <c r="N43" i="30" s="1"/>
  <c r="H38" i="30"/>
  <c r="H43" i="30" s="1"/>
  <c r="Q38" i="30"/>
  <c r="Q43" i="30" s="1"/>
  <c r="J38" i="30"/>
  <c r="J43" i="30" s="1"/>
  <c r="H21" i="27"/>
  <c r="V60" i="35" s="1"/>
  <c r="W54" i="35"/>
  <c r="R31" i="27"/>
  <c r="AV13" i="35" s="1"/>
  <c r="I21" i="27"/>
  <c r="W60" i="35" s="1"/>
  <c r="K38" i="30"/>
  <c r="K43" i="30" s="1"/>
  <c r="R23" i="27"/>
  <c r="H60" i="32"/>
  <c r="J31" i="20"/>
  <c r="R24" i="27" s="1"/>
  <c r="E29" i="34" s="1"/>
  <c r="C128" i="29"/>
  <c r="C127" i="29" s="1"/>
  <c r="O38" i="30"/>
  <c r="O43" i="30" s="1"/>
  <c r="G38" i="30"/>
  <c r="G43" i="30" s="1"/>
  <c r="G54" i="30" s="1"/>
  <c r="L38" i="30"/>
  <c r="L43" i="30" s="1"/>
  <c r="R38" i="30"/>
  <c r="R43" i="30" s="1"/>
  <c r="I38" i="30"/>
  <c r="I43" i="30" s="1"/>
  <c r="M38" i="30"/>
  <c r="M43" i="30" s="1"/>
  <c r="H74" i="35"/>
  <c r="I60" i="32"/>
  <c r="W32" i="35" s="1"/>
  <c r="J74" i="35"/>
  <c r="S23" i="27"/>
  <c r="L31" i="20"/>
  <c r="S24" i="27" s="1"/>
  <c r="F29" i="34" s="1"/>
  <c r="L71" i="35"/>
  <c r="J15" i="27"/>
  <c r="T32" i="27" s="1"/>
  <c r="AX14" i="35" s="1"/>
  <c r="M31" i="20"/>
  <c r="O65" i="35"/>
  <c r="U21" i="27"/>
  <c r="J61" i="27"/>
  <c r="AM19" i="35" s="1"/>
  <c r="P26" i="20"/>
  <c r="O69" i="35" s="1"/>
  <c r="O27" i="20"/>
  <c r="O31" i="20" s="1"/>
  <c r="K84" i="32"/>
  <c r="E23" i="33"/>
  <c r="F36" i="33" s="1"/>
  <c r="F42" i="33" s="1"/>
  <c r="J16" i="30" s="1"/>
  <c r="J19" i="30" s="1"/>
  <c r="M23" i="33"/>
  <c r="N36" i="33" s="1"/>
  <c r="N42" i="33" s="1"/>
  <c r="R16" i="30" s="1"/>
  <c r="R19" i="30" s="1"/>
  <c r="I23" i="33"/>
  <c r="J36" i="33" s="1"/>
  <c r="J42" i="33" s="1"/>
  <c r="N16" i="30" s="1"/>
  <c r="N19" i="30" s="1"/>
  <c r="G23" i="33"/>
  <c r="H36" i="33" s="1"/>
  <c r="H42" i="33" s="1"/>
  <c r="L16" i="30" s="1"/>
  <c r="L19" i="30" s="1"/>
  <c r="H23" i="33"/>
  <c r="I36" i="33" s="1"/>
  <c r="I42" i="33" s="1"/>
  <c r="M16" i="30" s="1"/>
  <c r="M19" i="30" s="1"/>
  <c r="K23" i="33"/>
  <c r="L36" i="33" s="1"/>
  <c r="L42" i="33" s="1"/>
  <c r="P16" i="30" s="1"/>
  <c r="P19" i="30" s="1"/>
  <c r="J23" i="33"/>
  <c r="K36" i="33" s="1"/>
  <c r="K42" i="33" s="1"/>
  <c r="O16" i="30" s="1"/>
  <c r="O19" i="30" s="1"/>
  <c r="L23" i="33"/>
  <c r="M36" i="33" s="1"/>
  <c r="M42" i="33" s="1"/>
  <c r="Q16" i="30" s="1"/>
  <c r="Q19" i="30" s="1"/>
  <c r="C23" i="33"/>
  <c r="D36" i="33" s="1"/>
  <c r="D42" i="33" s="1"/>
  <c r="H16" i="30" s="1"/>
  <c r="H19" i="30" s="1"/>
  <c r="D23" i="33"/>
  <c r="E36" i="33" s="1"/>
  <c r="E42" i="33" s="1"/>
  <c r="I16" i="30" s="1"/>
  <c r="I19" i="30" s="1"/>
  <c r="S29" i="30"/>
  <c r="F23" i="33"/>
  <c r="G36" i="33" s="1"/>
  <c r="G42" i="33" s="1"/>
  <c r="K16" i="30" s="1"/>
  <c r="K19" i="30" s="1"/>
  <c r="S33" i="27" l="1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8" i="30"/>
  <c r="T38" i="30" s="1"/>
  <c r="N31" i="20"/>
  <c r="T24" i="27" s="1"/>
  <c r="G29" i="34" s="1"/>
  <c r="J60" i="32"/>
  <c r="X32" i="35" s="1"/>
  <c r="L74" i="35"/>
  <c r="E128" i="29"/>
  <c r="T23" i="27"/>
  <c r="T31" i="27"/>
  <c r="AX13" i="35" s="1"/>
  <c r="X54" i="35"/>
  <c r="J21" i="27"/>
  <c r="X60" i="35" s="1"/>
  <c r="J28" i="27"/>
  <c r="X63" i="35" s="1"/>
  <c r="P27" i="20"/>
  <c r="O71" i="35" s="1"/>
  <c r="S43" i="30"/>
  <c r="K15" i="27"/>
  <c r="U31" i="27" s="1"/>
  <c r="AY13" i="35" s="1"/>
  <c r="N71" i="35"/>
  <c r="N74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16" i="30"/>
  <c r="S75" i="27" l="1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R45" i="27"/>
  <c r="E52" i="34" s="1"/>
  <c r="AV17" i="35"/>
  <c r="E4" i="34"/>
  <c r="K61" i="27"/>
  <c r="AO19" i="35" s="1"/>
  <c r="U33" i="27"/>
  <c r="AY15" i="35" s="1"/>
  <c r="G10" i="30" l="1"/>
  <c r="G55" i="30" s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4" i="30"/>
  <c r="R95" i="30" s="1"/>
  <c r="L54" i="30"/>
  <c r="L95" i="30" s="1"/>
  <c r="N54" i="30"/>
  <c r="N95" i="30" s="1"/>
  <c r="Q54" i="30"/>
  <c r="Q95" i="30" s="1"/>
  <c r="J54" i="30"/>
  <c r="J95" i="30" s="1"/>
  <c r="K54" i="30"/>
  <c r="K95" i="30" s="1"/>
  <c r="H54" i="30"/>
  <c r="H95" i="30" s="1"/>
  <c r="I54" i="30"/>
  <c r="I95" i="30" s="1"/>
  <c r="P54" i="30"/>
  <c r="P95" i="30" s="1"/>
  <c r="M54" i="30"/>
  <c r="M95" i="30" s="1"/>
  <c r="O54" i="30"/>
  <c r="O95" i="30" s="1"/>
  <c r="R28" i="27" l="1"/>
  <c r="AV10" i="35" s="1"/>
  <c r="AV9" i="35"/>
  <c r="AV11" i="35"/>
  <c r="S51" i="27"/>
  <c r="I39" i="27"/>
  <c r="D129" i="29" s="1"/>
  <c r="D127" i="29" s="1"/>
  <c r="R43" i="27"/>
  <c r="S49" i="30"/>
  <c r="S52" i="30" s="1"/>
  <c r="I59" i="32" l="1"/>
  <c r="I56" i="32" s="1"/>
  <c r="S76" i="27" s="1"/>
  <c r="W72" i="35"/>
  <c r="I41" i="27"/>
  <c r="W74" i="35" s="1"/>
  <c r="G95" i="30"/>
  <c r="S95" i="30" s="1"/>
  <c r="S54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5" i="30" s="1"/>
  <c r="G96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5" i="30" s="1"/>
  <c r="H96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5" i="30" s="1"/>
  <c r="I96" i="30"/>
  <c r="I51" i="32" l="1"/>
  <c r="W24" i="35" s="1"/>
  <c r="S29" i="27"/>
  <c r="S27" i="27"/>
  <c r="S42" i="27" s="1"/>
  <c r="S43" i="27" s="1"/>
  <c r="AW19" i="35"/>
  <c r="T50" i="27"/>
  <c r="T52" i="27" s="1"/>
  <c r="J96" i="30"/>
  <c r="K10" i="30"/>
  <c r="K55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6" i="30"/>
  <c r="L10" i="30"/>
  <c r="L55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5" i="30" s="1"/>
  <c r="L96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6" i="30"/>
  <c r="N10" i="30"/>
  <c r="N55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5" i="30" s="1"/>
  <c r="N96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5" i="30" s="1"/>
  <c r="O96" i="30"/>
  <c r="U51" i="27" l="1"/>
  <c r="K39" i="27"/>
  <c r="K41" i="27" s="1"/>
  <c r="Y74" i="35" s="1"/>
  <c r="T43" i="27"/>
  <c r="P96" i="30"/>
  <c r="Q10" i="30"/>
  <c r="Q55" i="30" s="1"/>
  <c r="Y72" i="35" l="1"/>
  <c r="K59" i="32"/>
  <c r="Y31" i="35" s="1"/>
  <c r="K42" i="27"/>
  <c r="K43" i="27" s="1"/>
  <c r="R10" i="30"/>
  <c r="Q96" i="30"/>
  <c r="K56" i="32" l="1"/>
  <c r="U76" i="27" s="1"/>
  <c r="U77" i="27" s="1"/>
  <c r="U82" i="27" s="1"/>
  <c r="U16" i="27" s="1"/>
  <c r="U25" i="27" s="1"/>
  <c r="H30" i="34" s="1"/>
  <c r="R55" i="30"/>
  <c r="R96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D16" authorId="0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CA5A2F68-B751-449D-A845-56713685FB89}">
      <text>
        <r>
          <rPr>
            <b/>
            <sz val="10"/>
            <color indexed="81"/>
            <rFont val="Tahoma"/>
            <family val="2"/>
          </rPr>
          <t>Investoinnit, joista voidaan vähentää arvonlisävero!</t>
        </r>
        <r>
          <rPr>
            <sz val="10"/>
            <color indexed="81"/>
            <rFont val="Tahoma"/>
            <family val="2"/>
          </rPr>
          <t xml:space="preserve"> 
Sosiaali- ja terveyspalvelukäytön investoinneista ei voida vähentää arvonlisäveroa. Kohtaan 3 merkitään investoinnit, joista ei voida vähintään arvonlisäveroa. KIRJOITA LUVUT ILMAN SENTTEJÄ KOKONAISLUKUINA!</t>
        </r>
      </text>
    </comment>
    <comment ref="D22" authorId="1" shapeId="0" xr:uid="{DDE0C349-5728-49D7-A8A2-FC51B1F4EDAD}">
      <text>
        <r>
          <rPr>
            <sz val="10"/>
            <color indexed="81"/>
            <rFont val="Tahoma"/>
            <family val="2"/>
          </rPr>
          <t>Arvonlisäveroprosentit:
- 24 % yleinen arvonlisävero
- 0 %, jos yrityksen toimiala terveys- ja sosiaalipalvelut
  tai rahoitus- ja vakuutuspalvelut.
- 0 %, jos yrityksen vuosiliikevaihto alle 15 000 €/ vuosi. 
- 0 % yrityskaupan yhteydessä, osto ulkomailta ja 
  yksityishenkilöltä</t>
        </r>
      </text>
    </comment>
    <comment ref="C24" authorId="0" shapeId="0" xr:uid="{00000000-0006-0000-0100-000004000000}">
      <text>
        <r>
          <rPr>
            <sz val="10"/>
            <color indexed="81"/>
            <rFont val="Tahoma"/>
            <family val="2"/>
          </rPr>
          <t>Investoinnit, joista ei voida vähentää arvonlisäveroa. Esim. toimialat terveys- ja sosiaalipalvelut, vakuutus- ja rahoitustoiminta tai lomamökki henkilökunnan käyttöön tai yrityskaupassa hankitut rakennukset. KIRJOITA LUVUT ILMAN SENTTEJÄ KOKONAISLUKUINA!</t>
        </r>
      </text>
    </comment>
    <comment ref="C27" authorId="0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0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E27" authorId="0" shapeId="0" xr:uid="{BED7DD77-8CC8-412C-800C-D0477FFD3404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D28" authorId="1" shapeId="0" xr:uid="{A91A228E-E974-490A-8523-57EBFD179FE1}">
      <text>
        <r>
          <rPr>
            <sz val="10"/>
            <color indexed="81"/>
            <rFont val="Tahoma"/>
            <family val="2"/>
          </rPr>
          <t>Arvonlisäveroprosentit:
- 24 % yleinen arvonlisävero
- 0 %, jos yrityksen toimiala terveys- ja sosiaalipalvelut
  tai rahoitus- ja vakuutuspalvelut.
- 0 %, jos yrityksen vuosiliikevaihto alle 15 000 €/ vuosi. 
- 0 % yrityskaupan yhteydessä, osto ulkomailta ja 
  yksityishenkilöltä</t>
        </r>
      </text>
    </comment>
    <comment ref="C30" authorId="0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0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E30" authorId="0" shapeId="0" xr:uid="{3410EE0B-082C-499F-A20A-07E922013A25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0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
- alkuvarasto, tuote- tms. aineellinen hyödyke
KIRJOITA LUVUT ILMAN SENTTEJÄ KOKONAISLUKUINA!</t>
        </r>
      </text>
    </comment>
    <comment ref="D32" authorId="0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E32" authorId="0" shapeId="0" xr:uid="{90EE7BCD-6E46-4DE9-98AB-9B543EE65823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D33" authorId="1" shapeId="0" xr:uid="{163F1FA6-A4D5-42FC-95CC-F6EC69EE649A}">
      <text>
        <r>
          <rPr>
            <sz val="10"/>
            <color indexed="81"/>
            <rFont val="Tahoma"/>
            <family val="2"/>
          </rPr>
          <t>Arvonlisäveroprosentit:
- 24 % yleinen arvonlisävero
- 0 %, jos yrityksen toimiala terveys- ja sosiaalipalvelut
  tai rahoitus- ja vakuutuspalvelut.
- 0 %, jos yrityksen vuosiliikevaihto alle 15 000 €/ vuosi. 
- 0 % yrityskaupan yhteydessä, osto ulkomailta ja 
  yksityishenkilöltä</t>
        </r>
      </text>
    </comment>
    <comment ref="C35" authorId="0" shapeId="0" xr:uid="{9CE246C0-9AE9-4EC6-BECE-920A60082341}">
      <text>
        <r>
          <rPr>
            <sz val="10"/>
            <color indexed="81"/>
            <rFont val="Tahoma"/>
            <family val="2"/>
          </rPr>
          <t>-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Patentti, goodwill-arvo, tavaramerkki tms.  
- Alv-verollisen liiketoiminnan käytössä olevan vuokra-asunnon ja 
  osakehuoneiston perusparannukseen sis. työt ja tarvikkeet.
- Yrityskaupassa alv 0 % 
- Tuotekehityskustannuksiin sisältyvät ainekulut alv 0 %- hinnoin. 
  Vastaava summa vähennetään 2. E2 LIIKEVAIHTO-taulukossa.
- Tuotekehityskustannuksiin sisältyvät palkat sotu-maksuineen alv 0 %.
  Vastaavat summat vähennetään 5. E1 KUSTANNUKSET-taulukossa. 
- Alv-% painotettu keskiarvo, jos tuotekehityskustannuksia.
</t>
        </r>
        <r>
          <rPr>
            <b/>
            <sz val="10"/>
            <color indexed="81"/>
            <rFont val="Tahoma"/>
            <family val="2"/>
          </rPr>
          <t>KIRJOITA LUVUT ILMAN SENTTEJÄ KOKONAISLUKUINA!</t>
        </r>
      </text>
    </comment>
    <comment ref="D36" authorId="1" shapeId="0" xr:uid="{D2F172B9-FDF6-4B61-AE78-5B5A5288BBD2}">
      <text>
        <r>
          <rPr>
            <sz val="10"/>
            <color indexed="81"/>
            <rFont val="Tahoma"/>
            <family val="2"/>
          </rPr>
          <t>Arvonlisäveroprosentit:
- 24 % yleinen arvonlisävero
- 0 %, jos yrityksen toimiala terveys- ja sosiaalipalvelut
  tai rahoitus- ja vakuutuspalvelut.
- 0 %, jos yrityksen vuosiliikevaihto alle 15 000 €/ vuosi. 
- 0 % yrityskaupan yhteydessä, osto ulkomailta ja 
  yksityishenkilöltä</t>
        </r>
      </text>
    </comment>
    <comment ref="D39" authorId="0" shapeId="0" xr:uid="{4F4CFBA5-39A9-4841-954A-AA9A0C70398F}">
      <text>
        <r>
          <rPr>
            <sz val="10"/>
            <color indexed="81"/>
            <rFont val="Tahoma"/>
            <family val="2"/>
          </rPr>
          <t>Yrityskaupassa ostettava vaihto-omaisuus otetaan huomioon käyttöpääomana. Myyntiennustetta tehtäessä ostettu vaihto-omaisuus otettava huomioon ainekäyttölaskennassa.</t>
        </r>
      </text>
    </comment>
    <comment ref="E39" authorId="0" shapeId="0" xr:uid="{1D9B5E17-B7A7-4DE5-9A59-85CFF095DFEA}">
      <text>
        <r>
          <rPr>
            <sz val="10"/>
            <color indexed="81"/>
            <rFont val="Tahoma"/>
            <family val="2"/>
          </rPr>
          <t>Yrityskaupassa ostettava vaihto-omaisuus otetaan huomioon käyttöpääomana. Myyntiennustetta tehtäessä ostettu vaihto-omaisuus otettava huomioon ainekäyttölaskennassa.</t>
        </r>
      </text>
    </comment>
    <comment ref="F39" authorId="0" shapeId="0" xr:uid="{F6A3D247-827A-4F37-A949-589D7CD1018C}">
      <text>
        <r>
          <rPr>
            <sz val="10"/>
            <color indexed="81"/>
            <rFont val="Tahoma"/>
            <family val="2"/>
          </rPr>
          <t>Yrityskaupassa ostettava vaihto-omaisuus otetaan huomioon käyttöpääomana. Myyntiennustetta tehtäessä ostettu vaihto-omaisuus otettava huomioon ainekäyttölaskennassa.</t>
        </r>
      </text>
    </comment>
    <comment ref="G39" authorId="0" shapeId="0" xr:uid="{C317976A-7F28-4F3B-9EE1-FF6E44B5EFF2}">
      <text>
        <r>
          <rPr>
            <sz val="10"/>
            <color indexed="81"/>
            <rFont val="Tahoma"/>
            <family val="2"/>
          </rPr>
          <t>Yrityskaupassa ostettava vaihto-omaisuus otetaan huomioon käyttöpääomana. Myyntiennustetta tehtäessä ostettu vaihto-omaisuus otettava huomioon ainekäyttölaskennassa.</t>
        </r>
      </text>
    </comment>
    <comment ref="D46" authorId="0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6" authorId="0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6" authorId="0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6" authorId="0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7" authorId="0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Lue lisää Yritystulkin kohdasta "Rahoitus".
 - Tähän voidaan merkitään myös lahjoitukset</t>
        </r>
      </text>
    </comment>
    <comment ref="D47" authorId="0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7" authorId="0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7" authorId="0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7" authorId="0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49" authorId="0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49" authorId="0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49" authorId="0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49" authorId="0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49" authorId="0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0" authorId="0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Ulkopuoliset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4. T7 LAINAT- taulukkoon. 
2) Omaisuuden myynti: Mitä myydään? Lisää summa 3. T3 TASE 
    Vastaavaa/Pysyvät vastaavat riville "Vähennykset tilikaudella".
3) Sijoitusten myynti (jos on TASEessa): Lisää summa myös
   3. T3 TASEen soluihin solut H36 - K36.
Lisätään vain muistiinpanoalueelle selite kohtaan 
12 Tulorahoitus (raha sisältyy tulorahoitus-osuuteen) 
- oman työn ja materiaalin osuus
- pankkitalletuksen purkaminen</t>
        </r>
      </text>
    </comment>
    <comment ref="J51" authorId="0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2" authorId="0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4" authorId="0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6" authorId="0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5. E1 KUSTANNUKSET riville 75 (Laite- ja kalustovuokrat, leasingvuokrat).</t>
        </r>
      </text>
    </comment>
    <comment ref="M56" authorId="0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7" authorId="0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58" authorId="0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</authors>
  <commentList>
    <comment ref="I10" authorId="0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0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0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1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0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0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0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0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0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0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0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0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0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0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0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0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0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0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5 E1 KUSTANNUKSET-taulukossa.</t>
        </r>
      </text>
    </comment>
    <comment ref="E18" authorId="0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0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2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0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0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0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0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0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0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F14" authorId="0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0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0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0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0" shapeId="0" xr:uid="{54751A2F-A830-4626-9D20-EC72CB7F91E2}">
      <text>
        <r>
          <rPr>
            <b/>
            <i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10. T5 KASSABUDJETTIin kohtaan 5.  Ei vaihtokaupan hyvitys! 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merkitse vuosipoisto-% nollaksi ja kirjoita tasapoiston määrä tälle riville.</t>
        </r>
      </text>
    </comment>
    <comment ref="E17" authorId="0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
"-vähennykset tilikaudella" -riville.</t>
        </r>
      </text>
    </comment>
    <comment ref="H17" authorId="0" shapeId="0" xr:uid="{00000000-0006-0000-0300-000008000000}">
      <text>
        <r>
          <rPr>
            <sz val="10"/>
            <color indexed="81"/>
            <rFont val="Tahoma"/>
            <family val="2"/>
          </rPr>
          <t>Investoinnin tarkka määrä voidaan laskea käyttökuukausien mukaan. Merkitse käyttökuukaudet viereiselle sivulle.</t>
        </r>
      </text>
    </comment>
    <comment ref="M17" authorId="0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0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0" shapeId="0" xr:uid="{4DB801DF-D5D6-4182-BBE4-8064D8CC2D34}">
      <text>
        <r>
          <rPr>
            <b/>
            <i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10. T5 KASSABUDJETTIin kohtaan 5.  Ei vaihtokaupan hyvitys! 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merkitse vuosipoisto-% nollaksi ja kirjoita tasapoiston määrä tälle riville.</t>
        </r>
      </text>
    </comment>
    <comment ref="H23" authorId="0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0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0" shapeId="0" xr:uid="{A3FEC0FA-150C-4134-905F-AE36ADE651CB}">
      <text>
        <r>
          <rPr>
            <b/>
            <i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10. T5 KASSABUDJETTIin kohtaan 5.  Ei vaihtokaupan hyvitys! 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merkitse vuosipoisto-% nollaksi ja kirjoita tasapoiston määrä tälle riville.</t>
        </r>
      </text>
    </comment>
    <comment ref="E25" authorId="0" shapeId="0" xr:uid="{00000000-0006-0000-0300-000015000000}">
      <text>
        <r>
          <rPr>
            <b/>
            <i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Tasapoiston käyttö</t>
        </r>
        <r>
          <rPr>
            <sz val="10"/>
            <color indexed="81"/>
            <rFont val="Tahoma"/>
            <family val="2"/>
          </rPr>
          <t xml:space="preserve"> on mahdollista, kun kirjoitat vuosipoistoprosentin nollaksi ja kirjoitat tasapoiston 
"-vähennykset tilikaudella" -riville.</t>
        </r>
      </text>
    </comment>
    <comment ref="H25" authorId="0" shapeId="0" xr:uid="{C3D89E60-0862-4D36-ACBF-BAEE210BD1EC}">
      <text>
        <r>
          <rPr>
            <sz val="10"/>
            <color indexed="81"/>
            <rFont val="Tahoma"/>
            <family val="2"/>
          </rPr>
          <t>Investoinnin tarkka määrä voidaan laskea käyttökuukausien mukaan. Merkitse käyttökuukaudet viereiselle sivulle.</t>
        </r>
      </text>
    </comment>
    <comment ref="M25" authorId="0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0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0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0" shapeId="0" xr:uid="{CF854944-1029-44BA-A2CF-0469BD86D8D8}">
      <text>
        <r>
          <rPr>
            <b/>
            <i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10. T5 KASSABUDJETTIin kohtaan 5.  Ei vaihtokaupan hyvitys! 
</t>
        </r>
        <r>
          <rPr>
            <b/>
            <i/>
            <sz val="10"/>
            <color indexed="81"/>
            <rFont val="Tahoma"/>
            <family val="2"/>
          </rPr>
          <t xml:space="preserve">Tasapoisto (suunnitelman mukainen poisto)
</t>
        </r>
        <r>
          <rPr>
            <sz val="10"/>
            <color indexed="81"/>
            <rFont val="Tahoma"/>
            <family val="2"/>
          </rPr>
          <t>merkitse vuosipoisto-% nollaksi ja kirjoita tasapoiston määrä tälle riville.</t>
        </r>
      </text>
    </comment>
    <comment ref="E29" authorId="0" shapeId="0" xr:uid="{00000000-0006-0000-0300-000021000000}">
      <text>
        <r>
          <rPr>
            <b/>
            <i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2020–2023).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
"-vähennykset tilikaudella" -riville.</t>
        </r>
      </text>
    </comment>
    <comment ref="H29" authorId="0" shapeId="0" xr:uid="{DCF2EDAB-F544-4743-86C5-B1F482CCA006}">
      <text>
        <r>
          <rPr>
            <sz val="10"/>
            <color indexed="81"/>
            <rFont val="Tahoma"/>
            <family val="2"/>
          </rPr>
          <t>Investoinnin tarkka määrä voidaan laskea käyttökuukausien mukaan. Merkitse käyttökuukaudet viereiselle sivulle.</t>
        </r>
      </text>
    </comment>
    <comment ref="M29" authorId="0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0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0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0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0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0" shapeId="0" xr:uid="{2B0C0175-6AA8-490D-9EA3-AF18216EC90A}">
      <text>
        <r>
          <rPr>
            <sz val="10"/>
            <color indexed="81"/>
            <rFont val="Tahoma"/>
            <family val="2"/>
          </rPr>
          <t xml:space="preserve">Myyntisumma lisätään 10. T5 KASSABUDJETTIin kohtaan 5.  Ei vaihtokaupan hyvitys! </t>
        </r>
      </text>
    </comment>
    <comment ref="E33" authorId="0" shapeId="0" xr:uid="{00000000-0006-0000-0300-00002C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Tasapoiston käyttö</t>
        </r>
        <r>
          <rPr>
            <sz val="10"/>
            <color indexed="81"/>
            <rFont val="Tahoma"/>
            <family val="2"/>
          </rPr>
          <t xml:space="preserve"> on mahdollista, kun kirjoitat vuosipoistoprosentin nollaksi ja kirjoitat tasapoiston 
"-vähennykset tilikaudella" -riville.</t>
        </r>
      </text>
    </comment>
    <comment ref="H33" authorId="0" shapeId="0" xr:uid="{DFB88097-F563-458F-9BC4-693170E5BF6E}">
      <text>
        <r>
          <rPr>
            <sz val="10"/>
            <color indexed="81"/>
            <rFont val="Tahoma"/>
            <family val="2"/>
          </rPr>
          <t>Investoinnin tarkka määrä voidaan laskea käyttökuukausien mukaan. Merkitse käyttökuukaudet viereiselle sivulle.</t>
        </r>
      </text>
    </comment>
    <comment ref="M33" authorId="0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0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9. Sijoitukset. Voidaan muuttaa.</t>
        </r>
      </text>
    </comment>
    <comment ref="F39" authorId="0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0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0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0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9. T4 RAHOITUSSUUNNITELMA riviltä 50.</t>
        </r>
      </text>
    </comment>
    <comment ref="G40" authorId="0" shapeId="0" xr:uid="{7669ABFA-C9EB-4ED0-945B-353FCEC6A2AE}">
      <text>
        <r>
          <rPr>
            <sz val="10"/>
            <color indexed="81"/>
            <rFont val="Tahoma"/>
            <family val="2"/>
          </rPr>
          <t>Luku siirtyy taulukosta 9. T4 RAHOITUSSUUNNITELMA riviltä 50.</t>
        </r>
      </text>
    </comment>
    <comment ref="H40" authorId="0" shapeId="0" xr:uid="{29BCB252-69E1-40F3-84B2-8A1958C4DA12}">
      <text>
        <r>
          <rPr>
            <sz val="10"/>
            <color indexed="81"/>
            <rFont val="Tahoma"/>
            <family val="2"/>
          </rPr>
          <t>Luku siirtyy taulukosta 9. T4 RAHOITUSSUUNNITELMA riviltä 50.</t>
        </r>
      </text>
    </comment>
    <comment ref="C43" authorId="0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0" shapeId="0" xr:uid="{00000000-0006-0000-0300-00003B000000}">
      <text>
        <r>
          <rPr>
            <sz val="10"/>
            <color indexed="81"/>
            <rFont val="Tahoma"/>
            <family val="2"/>
          </rPr>
          <t>Luku siirtyy 9. T4 RAHOITUSSUUNNITELMA-taulukosta soluista H52 - K52.</t>
        </r>
      </text>
    </comment>
    <comment ref="H45" authorId="0" shapeId="0" xr:uid="{00000000-0006-0000-0300-00003F000000}">
      <text>
        <r>
          <rPr>
            <sz val="10"/>
            <color indexed="81"/>
            <rFont val="Tahoma"/>
            <family val="2"/>
          </rPr>
          <t>Luku siirtyy 9. T4 RAHOITUSSUUNNITELMA-taulukosta soluista H55 - K55.</t>
        </r>
      </text>
    </comment>
    <comment ref="F46" authorId="0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0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0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0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0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I49" authorId="0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0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0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0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0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0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0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0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0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9. T4 RAHOITUSSUUNNITELMA-taulukosta soluista H39 - K39. Lukua voidaan muutta 9. T4 RAHOITUSSUUNNITELMA-taulukossa.  </t>
        </r>
      </text>
    </comment>
    <comment ref="F61" authorId="0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0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0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11. SVOP-sijoituksen palautus merkitään soluun lukua pienentämällä. </t>
        </r>
      </text>
    </comment>
    <comment ref="I61" authorId="0" shapeId="0" xr:uid="{3DB564FF-0F33-45A7-9964-6355F8F77A3B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11. SVOP-sijoituksen palautus merkitään soluun lukua pienentämällä. </t>
        </r>
      </text>
    </comment>
    <comment ref="J61" authorId="0" shapeId="0" xr:uid="{DA765923-F9A8-492F-9770-3E012CF8F2AD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11. SVOP-sijoituksen palautus merkitään soluun lukua pienentämällä. </t>
        </r>
      </text>
    </comment>
    <comment ref="K61" authorId="0" shapeId="0" xr:uid="{32A15882-7214-4616-9D7D-8501C8C99F9C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11. SVOP-sijoituksen palautus merkitään soluun lukua pienentämällä. </t>
        </r>
      </text>
    </comment>
    <comment ref="H63" authorId="0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0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0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0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0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0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0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0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0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70" authorId="0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0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0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0" shapeId="0" xr:uid="{E6C77404-F3E1-4A3F-BCA4-28597948DB22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kohtaan "Nykyiset pitkäaikaiset lainat". </t>
        </r>
      </text>
    </comment>
    <comment ref="G74" authorId="0" shapeId="0" xr:uid="{8A58D90C-3F12-41C2-AFDE-51E2B341E515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kohtaan "Nykyiset pitkäaikaiset lainat". </t>
        </r>
      </text>
    </comment>
    <comment ref="H74" authorId="0" shapeId="0" xr:uid="{0AA7987B-3E94-4A77-B37B-53CE0CDE5546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kohtaan "Nykyiset pitkäaikaiset lainat". </t>
        </r>
      </text>
    </comment>
    <comment ref="F75" authorId="0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0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0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0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0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0" shapeId="0" xr:uid="{6C51CE78-2732-420C-9B4B-BB12953E0FF0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9. T4 RAHOITUSSUUNNITELMAan.</t>
        </r>
      </text>
    </comment>
    <comment ref="G78" authorId="0" shapeId="0" xr:uid="{A3644355-A3B5-4D3B-9E92-49FDA336A7D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9. T4 RAHOITUSSUUNNITELMAan.</t>
        </r>
      </text>
    </comment>
    <comment ref="H78" authorId="0" shapeId="0" xr:uid="{DD14A207-247F-446C-A814-D260E6EC04B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9. T4 RAHOITUSSUUNNITELMAan ja 4. T7 LAINAT-taulukon soluun C46.</t>
        </r>
      </text>
    </comment>
    <comment ref="H79" authorId="0" shapeId="0" xr:uid="{00000000-0006-0000-0300-000080000000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7. T7 LAINAT "Lyhytaikaisten lainojen korot". Pääoman muutokset siirtyvät
9. T4 RAHOITUSSUUNNITELMAan.</t>
        </r>
      </text>
    </comment>
    <comment ref="C82" authorId="0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0" shapeId="0" xr:uid="{943BD30D-21A6-46CD-9C2C-DF03FA01F033}">
      <text>
        <r>
          <rPr>
            <sz val="10"/>
            <color indexed="81"/>
            <rFont val="Tahoma"/>
            <family val="2"/>
          </rPr>
          <t>Luku siirtyy riviltä 57 taulukosta
9. T4 RAHOITUSSUUNNITELMA.</t>
        </r>
      </text>
    </comment>
    <comment ref="G82" authorId="0" shapeId="0" xr:uid="{E3373330-E90C-4BED-AECB-FCBC1932C5BB}">
      <text>
        <r>
          <rPr>
            <sz val="10"/>
            <color indexed="81"/>
            <rFont val="Tahoma"/>
            <family val="2"/>
          </rPr>
          <t>Luku siirtyy riviltä 57 taulukosta
9. T4 RAHOITUSSUUNNITELMA.</t>
        </r>
      </text>
    </comment>
    <comment ref="H82" authorId="0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9. T4 RAHOITUSSUUNNITELMA.</t>
        </r>
      </text>
    </comment>
    <comment ref="F83" authorId="0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0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0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0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0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0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0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0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0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0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0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i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0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0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0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0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0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0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0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0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0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0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0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0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0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0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17,4 % 
- Sairausvakuutusmaksua 1,53 %
- Työttömyysvakuutusmaksua 0,52 %
- Tapaturma- ja henkivakuutusmaksua 0,76 %
Yhteensä 20,21 %
Jos molempia palkkoja, arvioi painotettu keskiarvo.</t>
        </r>
      </text>
    </comment>
    <comment ref="F96" authorId="0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0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B7" authorId="0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0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0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13.</t>
        </r>
      </text>
    </comment>
    <comment ref="C11" authorId="0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 xml:space="preserve">, että lukuun ei sisälly Ennuste 1-vuoden lyhennystä.  </t>
        </r>
        <r>
          <rPr>
            <sz val="10"/>
            <color indexed="81"/>
            <rFont val="Tahoma"/>
            <family val="2"/>
          </rPr>
          <t>Jos lainan takaisinmaksuaika on 1 vuosi, on laina lyhytaikainen. Luku merkitään 3. T3 TASE soluun G78.
Esim. Lainaa aikaa jäljellä 5 vuotta = Pitkäaikaista lainaa 4 vuotta ja lyhytaikaista lainaa 1 vuosi.</t>
        </r>
      </text>
    </comment>
    <comment ref="D11" authorId="0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0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0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0" shapeId="0" xr:uid="{023FD2B8-A4A2-47ED-82F8-7A476DEAC776}">
      <text>
        <r>
          <rPr>
            <sz val="10"/>
            <color indexed="81"/>
            <rFont val="Tahoma"/>
            <family val="2"/>
          </rPr>
          <t>Luotollinen tili on pitkäaikainen laina. Laina-ajaksi esim. 20 vuotta, jos luottolimiitti on yleensä kokonaan käytössä.</t>
        </r>
      </text>
    </comment>
    <comment ref="C18" authorId="0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0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0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0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0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0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0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0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0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0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0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0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0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0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0" shapeId="0" xr:uid="{D68830C9-8D20-4CDA-8718-AE03121A433F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H46" authorId="0" shapeId="0" xr:uid="{00000000-0006-0000-0800-00001A000000}">
      <text>
        <r>
          <rPr>
            <sz val="10"/>
            <color indexed="81"/>
            <rFont val="Tahoma"/>
            <family val="2"/>
          </rPr>
          <t>Lisää lukuun myös pääomalainoille maksetut korot.</t>
        </r>
      </text>
    </comment>
    <comment ref="K46" authorId="0" shapeId="0" xr:uid="{CA8E1041-7CDB-4EFB-99B0-F1CFE178F147}">
      <text>
        <r>
          <rPr>
            <sz val="10"/>
            <color indexed="81"/>
            <rFont val="Tahoma"/>
            <family val="2"/>
          </rPr>
          <t>Lisää lukuun myös pääomalainoille maksetut korot.</t>
        </r>
      </text>
    </comment>
    <comment ref="N46" authorId="0" shapeId="0" xr:uid="{0C97B0A2-B0B7-4E99-B93E-3B4147898449}">
      <text>
        <r>
          <rPr>
            <sz val="10"/>
            <color indexed="81"/>
            <rFont val="Tahoma"/>
            <family val="2"/>
          </rPr>
          <t>Lisää lukuun myös pääomalainoille maksetut korot.</t>
        </r>
      </text>
    </comment>
    <comment ref="Q46" authorId="0" shapeId="0" xr:uid="{63AF7403-F0CA-4A8F-8D18-A51BE798AFA3}">
      <text>
        <r>
          <rPr>
            <sz val="10"/>
            <color indexed="81"/>
            <rFont val="Tahoma"/>
            <family val="2"/>
          </rPr>
          <t>Lisää lukuun myös pääomalainoille maksetut korot.</t>
        </r>
      </text>
    </comment>
    <comment ref="C47" authorId="0" shapeId="0" xr:uid="{869C8C9D-722B-4023-B2BC-06B405147082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9.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 xml:space="preserve">normaalisti yrittäjä maksaa itselleen palkkaa, mutta palkanmaksu ei ole pakollista. Yksityisottoja ei voi nostaa osakeyhtiössä.
 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C4BFB020-045E-42BD-9D11-685D9BB472A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DD8C39B-34D9-484B-82C4-38F70A7CADB1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1,53 %
- vakuutusyhtiölle Tapaturmavakuutusta 0,7 % (tapaturma-alttiilla 
  aloilla jopa 7 %) ja henkivakuutusta 0,06 % 
- Työttömyysvakuutusta 0,52 %
Yhteensä 2,81 %,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1,7 % YEL-työtulosta
- sairausvakuutusmaksu 1,34 %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0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1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myynti vuodessa</t>
        </r>
      </text>
    </comment>
    <comment ref="D12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2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2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15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I35" authorId="0" shapeId="0" xr:uid="{0A2C31DD-E59D-4429-90E7-A830704F98E1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J35" authorId="0" shapeId="0" xr:uid="{79120FC4-7DB9-449E-9FC4-029CB7548D1D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K35" authorId="0" shapeId="0" xr:uid="{C072552E-3765-4082-97D5-F51BF696D249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801D9BA1-F364-45A6-B3B0-A4127C2169B5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E999DBC2-5812-478A-ABD5-D3AF4242EBA1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B8A4F301-D65F-406A-B3DE-00EB18F1C2F3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E27F452-2ABF-4D98-AAB3-D94AB08D0FE5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b/>
            <sz val="10"/>
            <color indexed="81"/>
            <rFont val="Tahoma"/>
            <family val="2"/>
          </rPr>
          <t xml:space="preserve">Jos summaan sisältyy vaihto-omaisuuden hankintaan liittyviä ennakkomaksuja, </t>
        </r>
        <r>
          <rPr>
            <sz val="10"/>
            <color indexed="81"/>
            <rFont val="Tahoma"/>
            <family val="2"/>
          </rPr>
          <t xml:space="preserve">esim. rakennusliike maksaa talotehtaalle ennakkoa, on niiden poisjäänti otettava huomioon ennustevuosien prosenttiluvussa.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Onko myyntisaatavien kiertonopeutta mahdollisuus lyhentää? Kassavarat lisääntyvät nopeasti.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>Onko ostovelkojen kiertonopeus todenmukainen?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Henri Järvinen</author>
    <author>Ari Järvinen</author>
    <author>Yritystulkki</author>
    <author>Jadelcons</author>
  </authors>
  <commentList>
    <comment ref="H5" authorId="0" shapeId="0" xr:uid="{00000000-0006-0000-0600-00000100000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1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0" authorId="2" shapeId="0" xr:uid="{7B1A72F9-2265-4324-9536-B28F95E7E25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91BA92C6-D6B1-4FE0-BEA5-2D310B6DB7B5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1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1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1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1" shapeId="0" xr:uid="{00000000-0006-0000-0600-000013000000}">
      <text>
        <r>
          <rPr>
            <sz val="10"/>
            <color indexed="81"/>
            <rFont val="Tahoma"/>
            <family val="2"/>
          </rPr>
          <t>Lasketaan 2. T2 TULOSSUUNNITELMAn kohdan 5 ainekäyttö-% mukaisesti. Voit muuttaa halutessasi.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F23" authorId="3" shapeId="0" xr:uid="{F1E35BC5-3E24-45AA-B9E4-7F3CCFFE2C0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AD23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2022 Sairausvakuutusmaksu 1,53%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3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23" authorId="2" shapeId="0" xr:uid="{91F88F54-502B-4950-B95C-6D8C26463E73}">
      <text>
        <r>
          <rPr>
            <b/>
            <sz val="9"/>
            <color indexed="81"/>
            <rFont val="Tahoma"/>
            <family val="2"/>
          </rPr>
          <t>2021:
Pidätys-% + Sairausvakuutusmaksu 1,53%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3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2023: Työntekijä maksaa
TT-vakuutusmaksu 1,5 % + TyEL-maksu 7,15 %</t>
        </r>
        <r>
          <rPr>
            <sz val="9"/>
            <color indexed="81"/>
            <rFont val="Tahoma"/>
            <family val="2"/>
          </rPr>
          <t xml:space="preserve">
= 8,65%
</t>
        </r>
      </text>
    </comment>
    <comment ref="F24" authorId="3" shapeId="0" xr:uid="{9F772F48-1C91-48E7-9803-18174878188D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AE24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5" authorId="3" shapeId="0" xr:uid="{C115A7AE-A57F-4A51-BB33-16914C8D8CDA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5" authorId="1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5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3" shapeId="0" xr:uid="{638A769B-D4F5-4C68-B90B-9B6A7B7A754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27" authorId="3" shapeId="0" xr:uid="{896FC3D4-667B-4753-BB00-19725F0D10BD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28" authorId="3" shapeId="0" xr:uid="{7411E5FB-30DA-4D8E-85C5-50E0BB583F07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C29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2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3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24,85 % palkoista
- Tapaturmavakuutusta keskimäärin 0,7 %
  (tapaturma-alttiilla aloilla suurempi)
- Ryhmähenkivakuutusta 0,06 % 
- Työttömyysvakuutusta 2 %
</t>
        </r>
        <r>
          <rPr>
            <b/>
            <sz val="10"/>
            <color indexed="81"/>
            <rFont val="Tahoma"/>
            <family val="2"/>
          </rPr>
          <t>Yhteensä noin 27,56 %</t>
        </r>
      </text>
    </comment>
    <comment ref="T34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7" authorId="1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39" authorId="1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6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7" authorId="1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8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8" authorId="2" shapeId="0" xr:uid="{2EDEE306-29AC-4BEC-A778-9F5D4DA494DD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49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0" authorId="2" shapeId="0" xr:uid="{5C3E2F5F-21A8-4F42-A3B5-897E703143D3}">
      <text>
        <r>
          <rPr>
            <sz val="10"/>
            <color indexed="81"/>
            <rFont val="Tahoma"/>
            <family val="2"/>
          </rPr>
          <t>Omistajien sijoitukset yritykseen 1. T1 INVESTOINTISUUN-taulukon kohdasta 11. Sijoita oikealle kuukaudelle.</t>
        </r>
      </text>
    </comment>
    <comment ref="G51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Sijoita oikealle kuukaudelle. </t>
        </r>
      </text>
    </comment>
    <comment ref="R55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R77" authorId="0" shapeId="0" xr:uid="{0D08DD3C-C98E-4ECF-AC8C-5E0D3A93C7CA}">
      <text>
        <r>
          <rPr>
            <sz val="10"/>
            <color indexed="81"/>
            <rFont val="Tahoma"/>
            <family val="2"/>
          </rPr>
          <t>Siffran berättar hur många dagar "Kumulativt under-/överskott" räcker till fasta kostnader. Borde vara minst 30 dagar.
Formel</t>
        </r>
        <r>
          <rPr>
            <b/>
            <sz val="10"/>
            <color indexed="81"/>
            <rFont val="Tahoma"/>
            <family val="2"/>
          </rPr>
          <t xml:space="preserve">:
</t>
        </r>
        <r>
          <rPr>
            <sz val="10"/>
            <color indexed="81"/>
            <rFont val="Tahoma"/>
            <family val="2"/>
          </rPr>
          <t>Kumulativt under-/överskott/Övriga fasta kostnader
(E1 VERKSAMHETSKOSTN. rad 42) * 365</t>
        </r>
      </text>
    </comment>
  </commentList>
</comments>
</file>

<file path=xl/sharedStrings.xml><?xml version="1.0" encoding="utf-8"?>
<sst xmlns="http://schemas.openxmlformats.org/spreadsheetml/2006/main" count="1619" uniqueCount="754">
  <si>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</si>
  <si>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</si>
  <si>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</si>
  <si>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</si>
  <si>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</si>
  <si>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</si>
  <si>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</si>
  <si>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</si>
  <si>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</si>
  <si>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</si>
  <si>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</si>
  <si>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</si>
  <si>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</si>
  <si>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</si>
  <si>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</si>
  <si>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</si>
  <si>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</si>
  <si>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</si>
  <si>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</si>
  <si>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</si>
  <si>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</si>
  <si>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</si>
  <si>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</si>
  <si>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</si>
  <si>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</si>
  <si>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</si>
  <si>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</si>
  <si>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</si>
  <si>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</si>
  <si>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</si>
  <si>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</si>
  <si>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</si>
  <si>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</si>
  <si>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</si>
  <si>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</si>
  <si>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</si>
  <si>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</si>
  <si>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</si>
  <si>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</si>
  <si>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</si>
  <si>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</si>
  <si>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</si>
  <si>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</si>
  <si>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</si>
  <si>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</si>
  <si>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</si>
  <si>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</si>
  <si>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</si>
  <si>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</si>
  <si>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</si>
  <si>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</si>
  <si>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</si>
  <si>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</si>
  <si>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</si>
  <si>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</si>
  <si>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</si>
  <si>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</si>
  <si>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</si>
  <si>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</si>
  <si>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</si>
  <si>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</si>
  <si>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</si>
  <si>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</si>
  <si>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</si>
  <si>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</si>
  <si>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</si>
  <si>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</si>
  <si>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</si>
  <si>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</si>
  <si>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</si>
  <si>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</si>
  <si>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</si>
  <si>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</si>
  <si>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</si>
  <si>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</si>
  <si>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</si>
  <si>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</si>
  <si>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</si>
  <si>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</si>
  <si>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</si>
  <si>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</si>
  <si>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</si>
  <si>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</si>
  <si>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</si>
  <si>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</si>
  <si>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</si>
  <si>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</si>
  <si>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</si>
  <si>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</si>
  <si>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</si>
  <si>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</si>
  <si>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</si>
  <si>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</si>
  <si>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</si>
  <si>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</si>
  <si>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</si>
  <si>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</si>
  <si>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</si>
  <si>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</si>
  <si>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</si>
  <si>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</si>
  <si>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</si>
  <si>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</si>
  <si>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</si>
  <si>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</si>
  <si>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</si>
  <si>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</si>
  <si>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</si>
  <si>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</si>
  <si>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</si>
  <si>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</si>
  <si>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</si>
  <si>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</si>
  <si>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</si>
  <si>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</si>
  <si>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</si>
  <si>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</si>
  <si>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</si>
  <si>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</si>
  <si>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</si>
  <si>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</si>
  <si>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</si>
  <si>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</si>
  <si>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</si>
  <si>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</si>
  <si>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</si>
  <si>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</si>
  <si>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</si>
  <si>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</si>
  <si>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</si>
  <si>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</si>
  <si>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</si>
  <si>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</si>
  <si>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</si>
  <si>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</si>
  <si>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</si>
  <si>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</si>
  <si>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</si>
  <si>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</si>
  <si>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</si>
  <si>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</si>
  <si>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</si>
  <si>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</si>
  <si>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</si>
  <si>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</si>
  <si>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</si>
  <si>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</si>
  <si>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</si>
  <si>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</si>
  <si>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</si>
  <si>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</si>
  <si>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</si>
  <si>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</si>
  <si>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</si>
  <si>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</si>
  <si>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</si>
  <si>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</si>
  <si>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</si>
  <si>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</si>
  <si>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</si>
  <si>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</si>
  <si>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Käteisostot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</si>
  <si>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</si>
  <si>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</si>
  <si>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</si>
  <si>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</si>
  <si>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</si>
  <si>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</si>
  <si>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</si>
  <si>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</si>
  <si>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</si>
  <si>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</si>
  <si>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</si>
  <si>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</si>
  <si>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</si>
  <si>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</si>
  <si>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</si>
  <si>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</si>
  <si>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</si>
  <si>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</si>
  <si>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</si>
  <si>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</si>
  <si>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</si>
  <si>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</si>
  <si>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</si>
  <si>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</si>
  <si>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</si>
  <si>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</si>
  <si>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</si>
  <si>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</si>
  <si>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</si>
  <si>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</si>
  <si>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</si>
  <si>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</si>
  <si>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</si>
  <si>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</si>
  <si>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</si>
  <si>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</si>
  <si>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</si>
  <si>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</si>
  <si>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</si>
  <si>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</si>
  <si>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</si>
  <si>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</si>
  <si>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</si>
  <si>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</si>
  <si>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</si>
  <si>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</si>
  <si>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</si>
  <si>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</si>
  <si>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</si>
  <si>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</si>
  <si>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</si>
  <si>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</si>
  <si>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</si>
  <si>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</si>
  <si>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</si>
  <si>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</si>
  <si>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</si>
  <si>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</si>
  <si>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</si>
  <si>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</si>
  <si>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</si>
  <si>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</si>
  <si>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</si>
  <si>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</si>
  <si>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</si>
  <si>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</si>
  <si>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</si>
  <si>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</si>
  <si>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</si>
  <si>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</si>
  <si>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</si>
  <si>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</si>
  <si>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</si>
  <si>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</si>
  <si>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</si>
  <si>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</si>
  <si>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</si>
  <si>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</si>
  <si>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</si>
  <si>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</si>
  <si>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</si>
  <si>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</si>
  <si>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</si>
  <si>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</si>
  <si>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</si>
  <si>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</si>
  <si>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</si>
  <si>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</si>
  <si>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</si>
  <si>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</si>
  <si>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</si>
  <si>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</si>
  <si>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</si>
  <si>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</si>
  <si>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</si>
  <si>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</si>
  <si>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</si>
  <si>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</si>
  <si>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</si>
  <si>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</si>
  <si>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</si>
  <si>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</si>
  <si>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</si>
  <si>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</si>
  <si>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</si>
  <si>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</si>
  <si>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</si>
  <si>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</si>
  <si>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</si>
  <si>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</si>
  <si>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</si>
  <si>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</si>
  <si>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</si>
  <si>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</si>
  <si>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</si>
  <si>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</si>
  <si>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</si>
  <si>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</si>
  <si>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</si>
  <si>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</si>
  <si>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</si>
  <si>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</si>
  <si>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</si>
  <si>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</si>
  <si>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</si>
  <si>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</si>
  <si>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</si>
  <si>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</si>
  <si>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</si>
  <si>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</si>
  <si>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</si>
  <si>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</si>
  <si>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</si>
  <si>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</si>
  <si>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</si>
  <si>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</si>
  <si>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</si>
  <si>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</si>
  <si>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</si>
  <si>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</si>
  <si>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</si>
  <si>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</si>
  <si>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</si>
  <si>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</si>
  <si>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</si>
  <si>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</si>
  <si>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</si>
  <si>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</si>
  <si>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</si>
  <si>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</si>
  <si>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</si>
  <si>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</si>
  <si>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</si>
  <si>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</si>
  <si>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</si>
  <si>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</si>
  <si>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</si>
  <si>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</si>
  <si>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</si>
  <si>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</si>
  <si>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</si>
  <si>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</si>
  <si>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</si>
  <si>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</si>
  <si>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 xml:space="preserve"> Rästivelka 2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</si>
  <si>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</si>
  <si>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</si>
  <si>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</si>
  <si>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</si>
  <si>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</si>
  <si>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</si>
  <si>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</si>
  <si>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</si>
  <si>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</si>
  <si>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</si>
  <si>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</si>
  <si>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</si>
  <si>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</si>
  <si>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</si>
  <si>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</si>
  <si>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</si>
  <si>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</si>
  <si>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</si>
  <si>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</si>
  <si>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</si>
  <si>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</si>
  <si>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</si>
  <si>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</si>
  <si>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>Pitkäaik.lainojen lyhennyserämuutokset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</si>
  <si>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</si>
  <si>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</si>
  <si>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</si>
  <si>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</si>
  <si>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</si>
  <si>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</si>
  <si>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</si>
  <si>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</si>
  <si>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</si>
  <si>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</si>
  <si>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</si>
  <si>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</si>
  <si>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</si>
  <si>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</si>
  <si>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</si>
  <si>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</si>
  <si>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</si>
  <si>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</si>
  <si>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</si>
  <si>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</si>
  <si>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</si>
  <si>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</si>
  <si>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</si>
  <si>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</si>
  <si>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</si>
  <si>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</si>
  <si>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</si>
  <si>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</si>
  <si>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</si>
  <si>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</si>
  <si>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</si>
  <si>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</si>
  <si>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</si>
  <si>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</si>
  <si>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</si>
  <si>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</si>
  <si>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</si>
  <si>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</si>
  <si>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</si>
  <si>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</si>
  <si>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</si>
  <si>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</si>
  <si>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</si>
  <si>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</si>
  <si>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</si>
  <si>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</si>
  <si>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</si>
  <si>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</si>
  <si>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</si>
  <si>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</si>
  <si>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</si>
  <si>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</si>
  <si>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</si>
  <si>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</si>
  <si>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</si>
  <si>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</si>
  <si>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</si>
  <si>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</si>
  <si>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</si>
  <si>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</si>
  <si>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</si>
  <si>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</si>
  <si>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</si>
  <si>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</si>
  <si>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</si>
  <si>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</si>
  <si>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</si>
  <si>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</si>
  <si>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</si>
  <si>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</si>
  <si>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</si>
  <si>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</si>
  <si>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</si>
  <si>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</si>
  <si>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</si>
  <si>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</si>
  <si>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</si>
  <si>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</si>
  <si>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</si>
  <si>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</si>
  <si>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</si>
  <si>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</si>
  <si>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</si>
  <si>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</si>
  <si>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</si>
  <si>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</si>
  <si>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</si>
  <si>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</si>
  <si>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</si>
  <si>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</si>
  <si>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</si>
  <si>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</si>
  <si>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</si>
  <si>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</si>
  <si>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</si>
  <si>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</si>
  <si>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</si>
  <si>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</si>
  <si>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</si>
  <si>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</si>
  <si>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</si>
  <si>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</si>
  <si>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</si>
  <si>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</si>
  <si>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</si>
  <si>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</si>
  <si>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</si>
  <si>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</si>
  <si>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</si>
  <si>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</si>
  <si>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</si>
  <si>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</si>
  <si>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</si>
  <si>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</si>
  <si>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</si>
  <si>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</si>
  <si>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</si>
  <si>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</si>
  <si>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</si>
  <si>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</si>
  <si>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</si>
  <si>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</si>
  <si>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</si>
  <si>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</si>
  <si>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</si>
  <si>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</si>
  <si>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</si>
  <si>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</si>
  <si>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</si>
  <si>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</si>
  <si>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</si>
  <si>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</si>
  <si>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</si>
  <si>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</si>
  <si>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</si>
  <si>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</si>
  <si>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</si>
  <si>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</si>
  <si>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</si>
  <si>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</si>
  <si>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</si>
  <si>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Rakennukset ja rakennelmat sis. alv 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</si>
  <si>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</si>
  <si>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</si>
  <si>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</si>
  <si>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</si>
  <si>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</si>
  <si>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Leasing- ja vuokrakulut, liikekäyttö</t>
  </si>
  <si>
    <t xml:space="preserve"> YEL-eläkemaksut ja tapaturmavakuutusmaksu</t>
  </si>
  <si>
    <t>2.3 YEL-yrittäjän sosiaalivakuutusmaksut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</si>
  <si>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</si>
  <si>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</si>
  <si>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</si>
  <si>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</si>
  <si>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</si>
  <si>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</si>
  <si>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</si>
  <si>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</si>
  <si>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</si>
  <si>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</si>
  <si>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</si>
  <si>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</si>
  <si>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</si>
  <si>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</si>
  <si>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</si>
  <si>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</si>
  <si>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</si>
  <si>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</si>
  <si>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</si>
  <si>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</si>
  <si>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</si>
  <si>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</si>
  <si>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</si>
  <si>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,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</si>
  <si>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</si>
  <si>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</si>
  <si>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</si>
  <si>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</si>
  <si>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</si>
  <si>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</si>
  <si>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Hankekuvaus</t>
  </si>
  <si>
    <t xml:space="preserve"> Sähköpostiosoite</t>
  </si>
  <si>
    <t xml:space="preserve"> Puhelinnumero</t>
  </si>
  <si>
    <t xml:space="preserve"> Arvioitu valmistuminen</t>
  </si>
  <si>
    <t xml:space="preserve"> Aloittamisajankohta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</si>
  <si>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</si>
  <si>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</si>
  <si>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</si>
  <si>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</si>
  <si>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</si>
  <si>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</si>
  <si>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</si>
  <si>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</si>
  <si>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</si>
  <si>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</si>
  <si>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</si>
  <si>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</si>
  <si>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</si>
  <si>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Muut aineelliset hyödykkeet sis. alv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</si>
  <si>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</si>
  <si>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</si>
  <si>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</si>
  <si>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</si>
  <si>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</si>
  <si>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</si>
  <si>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</si>
  <si>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</si>
  <si>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</si>
  <si>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</si>
  <si>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</si>
  <si>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</si>
  <si>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</si>
  <si>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</si>
  <si>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</si>
  <si>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</si>
  <si>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</si>
  <si>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</si>
  <si>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</si>
  <si>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</si>
  <si>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</si>
  <si>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>ELYn avustus, po-lainan lisäys, sijoitusten tuloutus, omaisuuden myyntitulot, osakepääoman konvertointi</t>
  </si>
  <si>
    <t xml:space="preserve">Koneet ja kalusto sis. alv </t>
  </si>
  <si>
    <t>Aineettomat hyödykkeet sis. alv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</si>
  <si>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</si>
  <si>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</si>
  <si>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</si>
  <si>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</si>
  <si>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</si>
  <si>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</si>
  <si>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</si>
  <si>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</si>
  <si>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</si>
  <si>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</si>
  <si>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</si>
  <si>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</si>
  <si>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</si>
  <si>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</si>
  <si>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</si>
  <si>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</si>
  <si>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</si>
  <si>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</si>
  <si>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</si>
  <si>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</si>
  <si>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</si>
  <si>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</si>
  <si>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</si>
  <si>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</si>
  <si>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</si>
  <si>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</si>
  <si>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</si>
  <si>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</si>
  <si>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</si>
  <si>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</si>
  <si>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</si>
  <si>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</si>
  <si>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</si>
  <si>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</si>
  <si>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</si>
  <si>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</si>
  <si>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</si>
  <si>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</si>
  <si>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</si>
  <si>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</si>
  <si>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</si>
  <si>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</si>
  <si>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</si>
  <si>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</si>
  <si>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</si>
  <si>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</si>
  <si>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</si>
  <si>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</si>
  <si>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</si>
  <si>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</si>
  <si>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</si>
  <si>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</si>
  <si>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</si>
  <si>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</si>
  <si>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</si>
  <si>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</si>
  <si>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</si>
  <si>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</si>
  <si>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</si>
  <si>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</si>
  <si>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</si>
  <si>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</si>
  <si>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</si>
  <si>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</si>
  <si>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</si>
  <si>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</si>
  <si>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</si>
  <si>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</si>
  <si>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</si>
  <si>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</si>
  <si>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Rästivelka 1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</si>
  <si>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</si>
  <si>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</si>
  <si>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</si>
  <si>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</si>
  <si>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</si>
  <si>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</si>
  <si>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</si>
  <si>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</si>
  <si>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</si>
  <si>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</si>
  <si>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</si>
  <si>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</si>
  <si>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</si>
  <si>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</si>
  <si>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</si>
  <si>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</si>
  <si>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</si>
  <si>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</si>
  <si>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</si>
  <si>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</si>
  <si>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</si>
  <si>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</si>
  <si>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</si>
  <si>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</si>
  <si>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</si>
  <si>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</si>
  <si>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</si>
  <si>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</si>
  <si>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</si>
  <si>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</si>
  <si>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</si>
  <si>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</si>
  <si>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</si>
  <si>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</si>
  <si>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</si>
  <si>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</si>
  <si>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</si>
  <si>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</si>
  <si>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</si>
  <si>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</si>
  <si>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</si>
  <si>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</si>
  <si>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</si>
  <si>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</si>
  <si>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</si>
  <si>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</si>
  <si>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</si>
  <si>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</si>
  <si>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</si>
  <si>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</si>
  <si>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</si>
  <si>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</si>
  <si>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</si>
  <si>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</si>
  <si>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</si>
  <si>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</si>
  <si>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</si>
  <si>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</si>
  <si>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</si>
  <si>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 xml:space="preserve"> - vähennykset tilikaudella/tasapoisto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</si>
  <si>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</si>
  <si>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</si>
  <si>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</si>
  <si>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</si>
  <si>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</si>
  <si>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</si>
  <si>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</si>
  <si>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</si>
  <si>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</si>
  <si>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</si>
  <si>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</si>
  <si>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</si>
  <si>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</si>
  <si>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</si>
  <si>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>.</t>
  </si>
  <si>
    <t>Palvelun tarjoaa</t>
  </si>
  <si>
    <t xml:space="preserve"> VUOSITTAIN MAKSETTAVAT LYHENNYKSET JA KOROT</t>
  </si>
  <si>
    <t xml:space="preserve"> Tuote, palvelu tai liikevaihto</t>
  </si>
  <si>
    <t xml:space="preserve"> - työntekijöiden perustuntipalkka keskimäärin / henkilö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</si>
  <si>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</si>
  <si>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</si>
  <si>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</si>
  <si>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</si>
  <si>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</si>
  <si>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</si>
  <si>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</si>
  <si>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</si>
  <si>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</si>
  <si>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</si>
  <si>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</si>
  <si>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</si>
  <si>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</si>
  <si>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</si>
  <si>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</si>
  <si>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</si>
  <si>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</si>
  <si>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</si>
  <si>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</si>
  <si>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</si>
  <si>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</si>
  <si>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vähennykset tilikaudella/tasapoisto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</si>
  <si>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</si>
  <si>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</si>
  <si>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</si>
  <si>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</si>
  <si>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</si>
  <si>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</si>
  <si>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</si>
  <si>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>Business Kuopio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</si>
</sst>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0" x14ac:knownFonts="1">
    <font>
      <sz val="10"/>
      <name val="Arial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5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3" tint="-0.249977111117893"/>
      </right>
      <top style="hair">
        <color theme="0" tint="-0.34998626667073579"/>
      </top>
      <bottom/>
      <diagonal/>
    </border>
    <border>
      <left style="hair">
        <color theme="3" tint="-0.249977111117893"/>
      </left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3" tint="-0.249977111117893"/>
      </right>
      <top/>
      <bottom style="hair">
        <color theme="0" tint="-0.34998626667073579"/>
      </bottom>
      <diagonal/>
    </border>
    <border>
      <left style="hair">
        <color theme="3" tint="-0.249977111117893"/>
      </left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medium">
        <color theme="0" tint="-0.2499465926084170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medium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medium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medium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medium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 style="medium">
        <color theme="0" tint="-0.34998626667073579"/>
      </left>
      <right/>
      <top/>
      <bottom style="hair">
        <color theme="3" tint="-0.249977111117893"/>
      </bottom>
      <diagonal/>
    </border>
    <border>
      <left/>
      <right style="medium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medium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medium">
        <color theme="0" tint="-0.34998626667073579"/>
      </right>
      <top/>
      <bottom style="hair">
        <color theme="3" tint="-0.249977111117893"/>
      </bottom>
      <diagonal/>
    </border>
    <border>
      <left style="medium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medium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medium">
        <color theme="0" tint="-0.34998626667073579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medium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medium">
        <color theme="0" tint="-0.2499465926084170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medium">
        <color theme="0" tint="-0.24994659260841701"/>
      </right>
      <top/>
      <bottom style="hair">
        <color theme="3" tint="-0.249977111117893"/>
      </bottom>
      <diagonal/>
    </border>
    <border>
      <left style="medium">
        <color theme="0" tint="-0.2499465926084170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medium">
        <color theme="0" tint="-0.24994659260841701"/>
      </right>
      <top style="hair">
        <color theme="3" tint="-0.249977111117893"/>
      </top>
      <bottom style="double">
        <color theme="0" tint="-0.34998626667073579"/>
      </bottom>
      <diagonal/>
    </border>
    <border>
      <left style="medium">
        <color theme="0" tint="-0.34998626667073579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3" fillId="0" borderId="0"/>
    <xf numFmtId="9" fontId="1" fillId="0" borderId="0" applyFont="0" applyFill="0" applyBorder="0" applyAlignment="0" applyProtection="0"/>
  </cellStyleXfs>
  <cellXfs count="2229">
    <xf numFmtId="0" fontId="0" fillId="0" borderId="0" xfId="0"/>
    <xf numFmtId="0" fontId="3" fillId="0" borderId="0" xfId="0" applyFont="1"/>
    <xf numFmtId="0" fontId="4" fillId="0" borderId="0" xfId="0" applyFont="1"/>
    <xf numFmtId="3" fontId="4" fillId="0" borderId="0" xfId="0" applyNumberFormat="1" applyFont="1" applyProtection="1">
      <protection hidden="1"/>
    </xf>
    <xf numFmtId="0" fontId="10" fillId="0" borderId="0" xfId="0" applyFont="1"/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3" fillId="0" borderId="0" xfId="0" applyNumberFormat="1" applyFont="1" applyProtection="1">
      <protection hidden="1"/>
    </xf>
    <xf numFmtId="0" fontId="0" fillId="2" borderId="0" xfId="0" applyFill="1"/>
    <xf numFmtId="3" fontId="4" fillId="2" borderId="0" xfId="0" applyNumberFormat="1" applyFont="1" applyFill="1" applyProtection="1">
      <protection hidden="1"/>
    </xf>
    <xf numFmtId="0" fontId="4" fillId="2" borderId="0" xfId="0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3" fontId="3" fillId="2" borderId="0" xfId="0" applyNumberFormat="1" applyFont="1" applyFill="1" applyProtection="1">
      <protection hidden="1"/>
    </xf>
    <xf numFmtId="0" fontId="8" fillId="2" borderId="0" xfId="0" applyFont="1" applyFill="1"/>
    <xf numFmtId="164" fontId="3" fillId="2" borderId="0" xfId="0" applyNumberFormat="1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4" fillId="2" borderId="0" xfId="0" applyNumberFormat="1" applyFont="1" applyFill="1" applyProtection="1">
      <protection hidden="1"/>
    </xf>
    <xf numFmtId="14" fontId="0" fillId="0" borderId="0" xfId="0" applyNumberFormat="1"/>
    <xf numFmtId="0" fontId="13" fillId="0" borderId="0" xfId="0" applyFont="1"/>
    <xf numFmtId="0" fontId="3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7" fillId="2" borderId="0" xfId="0" applyNumberFormat="1" applyFont="1" applyFill="1" applyProtection="1">
      <protection hidden="1"/>
    </xf>
    <xf numFmtId="3" fontId="4" fillId="2" borderId="0" xfId="0" applyNumberFormat="1" applyFont="1" applyFill="1" applyAlignment="1" applyProtection="1">
      <alignment horizontal="center"/>
      <protection hidden="1"/>
    </xf>
    <xf numFmtId="0" fontId="6" fillId="0" borderId="0" xfId="0" applyFont="1"/>
    <xf numFmtId="0" fontId="2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164" fontId="3" fillId="0" borderId="0" xfId="0" applyNumberFormat="1" applyFont="1"/>
    <xf numFmtId="0" fontId="14" fillId="2" borderId="0" xfId="0" applyFont="1" applyFill="1"/>
    <xf numFmtId="0" fontId="13" fillId="0" borderId="0" xfId="0" applyFont="1" applyAlignment="1">
      <alignment horizontal="right"/>
    </xf>
    <xf numFmtId="0" fontId="9" fillId="0" borderId="0" xfId="0" applyFont="1"/>
    <xf numFmtId="3" fontId="10" fillId="0" borderId="0" xfId="0" applyNumberFormat="1" applyFont="1" applyProtection="1">
      <protection hidden="1"/>
    </xf>
    <xf numFmtId="3" fontId="10" fillId="0" borderId="0" xfId="0" applyNumberFormat="1" applyFont="1"/>
    <xf numFmtId="0" fontId="3" fillId="2" borderId="0" xfId="0" applyFont="1" applyFill="1" applyAlignment="1">
      <alignment horizontal="right"/>
    </xf>
    <xf numFmtId="49" fontId="3" fillId="2" borderId="0" xfId="0" applyNumberFormat="1" applyFont="1" applyFill="1" applyAlignment="1">
      <alignment horizontal="right"/>
    </xf>
    <xf numFmtId="0" fontId="4" fillId="2" borderId="0" xfId="0" applyFont="1" applyFill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4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/>
    </xf>
    <xf numFmtId="0" fontId="7" fillId="0" borderId="0" xfId="0" applyFont="1"/>
    <xf numFmtId="0" fontId="13" fillId="0" borderId="0" xfId="0" applyFont="1" applyAlignment="1">
      <alignment vertical="center"/>
    </xf>
    <xf numFmtId="0" fontId="2" fillId="3" borderId="1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vertical="center"/>
    </xf>
    <xf numFmtId="3" fontId="9" fillId="0" borderId="0" xfId="0" applyNumberFormat="1" applyFont="1" applyProtection="1">
      <protection hidden="1"/>
    </xf>
    <xf numFmtId="0" fontId="9" fillId="0" borderId="2" xfId="0" applyFont="1" applyBorder="1"/>
    <xf numFmtId="0" fontId="5" fillId="0" borderId="0" xfId="0" applyFont="1"/>
    <xf numFmtId="0" fontId="0" fillId="0" borderId="0" xfId="0" applyAlignment="1">
      <alignment vertical="center"/>
    </xf>
    <xf numFmtId="0" fontId="13" fillId="0" borderId="0" xfId="0" applyFont="1" applyAlignment="1">
      <alignment horizontal="center"/>
    </xf>
    <xf numFmtId="3" fontId="5" fillId="0" borderId="0" xfId="0" applyNumberFormat="1" applyFont="1"/>
    <xf numFmtId="3" fontId="2" fillId="0" borderId="0" xfId="0" applyNumberFormat="1" applyFont="1" applyProtection="1">
      <protection hidden="1"/>
    </xf>
    <xf numFmtId="3" fontId="5" fillId="0" borderId="0" xfId="0" applyNumberFormat="1" applyFont="1" applyProtection="1">
      <protection hidden="1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49" fontId="4" fillId="0" borderId="0" xfId="0" applyNumberFormat="1" applyFont="1"/>
    <xf numFmtId="6" fontId="4" fillId="0" borderId="0" xfId="0" applyNumberFormat="1" applyFont="1" applyAlignment="1">
      <alignment horizontal="center" vertical="center"/>
    </xf>
    <xf numFmtId="0" fontId="17" fillId="0" borderId="7" xfId="0" applyFont="1" applyBorder="1"/>
    <xf numFmtId="0" fontId="17" fillId="0" borderId="8" xfId="0" applyFont="1" applyBorder="1"/>
    <xf numFmtId="0" fontId="17" fillId="0" borderId="0" xfId="0" applyFont="1"/>
    <xf numFmtId="0" fontId="22" fillId="0" borderId="0" xfId="0" applyFont="1"/>
    <xf numFmtId="14" fontId="6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1" fillId="0" borderId="0" xfId="0" applyFont="1"/>
    <xf numFmtId="0" fontId="0" fillId="0" borderId="0" xfId="0" applyAlignment="1">
      <alignment horizontal="left"/>
    </xf>
    <xf numFmtId="0" fontId="4" fillId="0" borderId="14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10" fillId="0" borderId="15" xfId="0" applyFont="1" applyBorder="1" applyAlignment="1">
      <alignment horizontal="center" vertical="center"/>
    </xf>
    <xf numFmtId="167" fontId="3" fillId="0" borderId="0" xfId="0" applyNumberFormat="1" applyFont="1" applyAlignment="1">
      <alignment horizontal="center"/>
    </xf>
    <xf numFmtId="14" fontId="4" fillId="0" borderId="0" xfId="0" applyNumberFormat="1" applyFont="1"/>
    <xf numFmtId="0" fontId="0" fillId="0" borderId="17" xfId="0" applyBorder="1"/>
    <xf numFmtId="0" fontId="5" fillId="0" borderId="0" xfId="0" applyFont="1" applyAlignment="1">
      <alignment horizontal="right" vertical="center"/>
    </xf>
    <xf numFmtId="0" fontId="16" fillId="0" borderId="0" xfId="0" applyFont="1"/>
    <xf numFmtId="0" fontId="5" fillId="0" borderId="0" xfId="0" applyFont="1" applyAlignment="1">
      <alignment horizontal="center"/>
    </xf>
    <xf numFmtId="166" fontId="0" fillId="0" borderId="0" xfId="0" applyNumberFormat="1"/>
    <xf numFmtId="0" fontId="6" fillId="0" borderId="0" xfId="0" applyFont="1" applyAlignment="1">
      <alignment horizontal="left"/>
    </xf>
    <xf numFmtId="0" fontId="4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4" fillId="0" borderId="8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7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3" fillId="2" borderId="0" xfId="0" applyFont="1" applyFill="1"/>
    <xf numFmtId="0" fontId="24" fillId="2" borderId="0" xfId="0" applyFont="1" applyFill="1" applyAlignment="1" applyProtection="1">
      <alignment horizontal="left" vertical="center"/>
      <protection hidden="1"/>
    </xf>
    <xf numFmtId="0" fontId="23" fillId="2" borderId="0" xfId="0" applyFont="1" applyFill="1" applyAlignment="1">
      <alignment horizontal="center"/>
    </xf>
    <xf numFmtId="0" fontId="21" fillId="2" borderId="0" xfId="0" applyFont="1" applyFill="1"/>
    <xf numFmtId="49" fontId="3" fillId="2" borderId="0" xfId="0" applyNumberFormat="1" applyFont="1" applyFill="1" applyAlignment="1">
      <alignment horizontal="right" vertical="center"/>
    </xf>
    <xf numFmtId="0" fontId="3" fillId="5" borderId="24" xfId="0" applyFont="1" applyFill="1" applyBorder="1" applyAlignment="1">
      <alignment horizontal="center" vertical="center"/>
    </xf>
    <xf numFmtId="3" fontId="3" fillId="0" borderId="0" xfId="0" applyNumberFormat="1" applyFont="1"/>
    <xf numFmtId="0" fontId="7" fillId="0" borderId="0" xfId="0" applyFont="1" applyAlignment="1">
      <alignment horizontal="right"/>
    </xf>
    <xf numFmtId="0" fontId="27" fillId="0" borderId="0" xfId="0" applyFont="1"/>
    <xf numFmtId="3" fontId="28" fillId="0" borderId="0" xfId="0" applyNumberFormat="1" applyFont="1"/>
    <xf numFmtId="0" fontId="29" fillId="0" borderId="0" xfId="0" applyFont="1" applyAlignment="1">
      <alignment horizontal="center"/>
    </xf>
    <xf numFmtId="0" fontId="4" fillId="0" borderId="2" xfId="0" applyFont="1" applyBorder="1" applyAlignment="1">
      <alignment vertical="center"/>
    </xf>
    <xf numFmtId="0" fontId="4" fillId="0" borderId="25" xfId="0" applyFont="1" applyBorder="1"/>
    <xf numFmtId="0" fontId="3" fillId="0" borderId="0" xfId="0" applyFont="1" applyAlignment="1" applyProtection="1">
      <alignment horizontal="left"/>
      <protection hidden="1"/>
    </xf>
    <xf numFmtId="0" fontId="3" fillId="0" borderId="25" xfId="0" applyFont="1" applyBorder="1"/>
    <xf numFmtId="0" fontId="3" fillId="0" borderId="25" xfId="0" applyFont="1" applyBorder="1" applyAlignment="1" applyProtection="1">
      <alignment horizontal="center"/>
      <protection hidden="1"/>
    </xf>
    <xf numFmtId="0" fontId="3" fillId="0" borderId="25" xfId="0" applyFont="1" applyBorder="1" applyAlignment="1" applyProtection="1">
      <alignment horizontal="left"/>
      <protection hidden="1"/>
    </xf>
    <xf numFmtId="0" fontId="4" fillId="0" borderId="25" xfId="0" applyFont="1" applyBorder="1" applyAlignment="1" applyProtection="1">
      <alignment horizontal="left"/>
      <protection hidden="1"/>
    </xf>
    <xf numFmtId="1" fontId="3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3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" fontId="4" fillId="0" borderId="0" xfId="0" applyNumberFormat="1" applyFont="1" applyAlignment="1" applyProtection="1">
      <alignment horizontal="center"/>
      <protection hidden="1"/>
    </xf>
    <xf numFmtId="1" fontId="22" fillId="0" borderId="0" xfId="0" applyNumberFormat="1" applyFont="1" applyAlignment="1" applyProtection="1">
      <alignment horizontal="center"/>
      <protection hidden="1"/>
    </xf>
    <xf numFmtId="0" fontId="27" fillId="0" borderId="0" xfId="0" applyFont="1" applyAlignment="1">
      <alignment horizontal="center"/>
    </xf>
    <xf numFmtId="0" fontId="24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164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1" fontId="9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right"/>
      <protection hidden="1"/>
    </xf>
    <xf numFmtId="3" fontId="10" fillId="0" borderId="0" xfId="0" applyNumberFormat="1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" fontId="10" fillId="0" borderId="0" xfId="0" applyNumberFormat="1" applyFont="1" applyAlignment="1" applyProtection="1">
      <alignment horizontal="right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vertical="center"/>
      <protection hidden="1"/>
    </xf>
    <xf numFmtId="0" fontId="5" fillId="0" borderId="0" xfId="0" applyFont="1" applyAlignment="1">
      <alignment horizontal="right"/>
    </xf>
    <xf numFmtId="0" fontId="5" fillId="2" borderId="0" xfId="0" applyFont="1" applyFill="1"/>
    <xf numFmtId="3" fontId="5" fillId="0" borderId="0" xfId="0" applyNumberFormat="1" applyFont="1" applyAlignment="1">
      <alignment horizontal="right"/>
    </xf>
    <xf numFmtId="0" fontId="31" fillId="0" borderId="0" xfId="0" applyFont="1"/>
    <xf numFmtId="0" fontId="31" fillId="0" borderId="0" xfId="0" applyFont="1" applyAlignment="1">
      <alignment horizontal="center"/>
    </xf>
    <xf numFmtId="0" fontId="3" fillId="0" borderId="2" xfId="0" applyFont="1" applyBorder="1" applyAlignment="1" applyProtection="1">
      <alignment horizontal="left" vertical="center"/>
      <protection hidden="1"/>
    </xf>
    <xf numFmtId="0" fontId="4" fillId="0" borderId="12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23" fillId="2" borderId="0" xfId="0" applyFont="1" applyFill="1" applyAlignment="1">
      <alignment horizontal="left"/>
    </xf>
    <xf numFmtId="0" fontId="2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8" fillId="0" borderId="0" xfId="0" applyFont="1"/>
    <xf numFmtId="0" fontId="4" fillId="0" borderId="16" xfId="0" applyFont="1" applyBorder="1"/>
    <xf numFmtId="0" fontId="18" fillId="0" borderId="16" xfId="0" applyFont="1" applyBorder="1"/>
    <xf numFmtId="0" fontId="18" fillId="0" borderId="16" xfId="0" applyFont="1" applyBorder="1" applyAlignment="1">
      <alignment horizontal="center"/>
    </xf>
    <xf numFmtId="0" fontId="4" fillId="0" borderId="27" xfId="0" applyFont="1" applyBorder="1" applyAlignment="1" applyProtection="1">
      <alignment horizontal="left" vertical="center"/>
      <protection hidden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right"/>
    </xf>
    <xf numFmtId="0" fontId="15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4" fillId="0" borderId="0" xfId="0" applyNumberFormat="1" applyFont="1"/>
    <xf numFmtId="0" fontId="2" fillId="0" borderId="27" xfId="0" applyFont="1" applyBorder="1" applyAlignment="1">
      <alignment horizontal="center"/>
    </xf>
    <xf numFmtId="1" fontId="4" fillId="3" borderId="40" xfId="0" applyNumberFormat="1" applyFont="1" applyFill="1" applyBorder="1" applyAlignment="1">
      <alignment horizontal="center"/>
    </xf>
    <xf numFmtId="0" fontId="10" fillId="0" borderId="17" xfId="0" applyFont="1" applyBorder="1"/>
    <xf numFmtId="164" fontId="10" fillId="0" borderId="17" xfId="2" applyNumberFormat="1" applyFont="1" applyBorder="1"/>
    <xf numFmtId="3" fontId="10" fillId="0" borderId="17" xfId="2" applyNumberFormat="1" applyFont="1" applyBorder="1"/>
    <xf numFmtId="164" fontId="0" fillId="0" borderId="17" xfId="2" applyNumberFormat="1" applyFont="1" applyBorder="1"/>
    <xf numFmtId="0" fontId="10" fillId="0" borderId="41" xfId="0" applyFont="1" applyBorder="1" applyAlignment="1">
      <alignment horizontal="center" vertical="center"/>
    </xf>
    <xf numFmtId="0" fontId="10" fillId="0" borderId="16" xfId="0" applyFont="1" applyBorder="1" applyAlignment="1">
      <alignment vertical="center"/>
    </xf>
    <xf numFmtId="3" fontId="10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34" xfId="0" applyBorder="1"/>
    <xf numFmtId="0" fontId="4" fillId="0" borderId="31" xfId="0" applyFont="1" applyBorder="1" applyAlignment="1">
      <alignment horizontal="right" vertical="center"/>
    </xf>
    <xf numFmtId="9" fontId="0" fillId="0" borderId="0" xfId="2" applyFont="1"/>
    <xf numFmtId="167" fontId="4" fillId="0" borderId="0" xfId="0" applyNumberFormat="1" applyFont="1"/>
    <xf numFmtId="0" fontId="0" fillId="0" borderId="0" xfId="0" applyAlignment="1">
      <alignment horizontal="right"/>
    </xf>
    <xf numFmtId="3" fontId="3" fillId="5" borderId="16" xfId="0" applyNumberFormat="1" applyFont="1" applyFill="1" applyBorder="1" applyAlignment="1">
      <alignment horizontal="right" vertical="center"/>
    </xf>
    <xf numFmtId="3" fontId="3" fillId="5" borderId="33" xfId="0" applyNumberFormat="1" applyFont="1" applyFill="1" applyBorder="1" applyAlignment="1">
      <alignment horizontal="right" vertical="center"/>
    </xf>
    <xf numFmtId="0" fontId="9" fillId="0" borderId="11" xfId="0" applyFont="1" applyBorder="1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9" fillId="0" borderId="8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0" fontId="10" fillId="0" borderId="16" xfId="0" applyFont="1" applyBorder="1" applyAlignment="1">
      <alignment horizontal="right" vertical="center"/>
    </xf>
    <xf numFmtId="0" fontId="9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3" fillId="2" borderId="0" xfId="0" applyNumberFormat="1" applyFont="1" applyFill="1" applyAlignment="1">
      <alignment horizontal="center"/>
    </xf>
    <xf numFmtId="49" fontId="4" fillId="2" borderId="0" xfId="0" applyNumberFormat="1" applyFont="1" applyFill="1" applyAlignment="1">
      <alignment horizontal="center"/>
    </xf>
    <xf numFmtId="3" fontId="3" fillId="2" borderId="0" xfId="0" applyNumberFormat="1" applyFont="1" applyFill="1"/>
    <xf numFmtId="0" fontId="4" fillId="0" borderId="20" xfId="0" applyFont="1" applyBorder="1" applyAlignment="1">
      <alignment horizontal="right"/>
    </xf>
    <xf numFmtId="0" fontId="4" fillId="0" borderId="10" xfId="0" applyFont="1" applyBorder="1"/>
    <xf numFmtId="0" fontId="15" fillId="0" borderId="10" xfId="0" applyFont="1" applyBorder="1"/>
    <xf numFmtId="167" fontId="4" fillId="0" borderId="10" xfId="0" applyNumberFormat="1" applyFont="1" applyBorder="1"/>
    <xf numFmtId="3" fontId="4" fillId="0" borderId="10" xfId="0" applyNumberFormat="1" applyFont="1" applyBorder="1"/>
    <xf numFmtId="3" fontId="3" fillId="0" borderId="0" xfId="0" applyNumberFormat="1" applyFont="1" applyAlignment="1">
      <alignment horizontal="center"/>
    </xf>
    <xf numFmtId="164" fontId="3" fillId="0" borderId="0" xfId="2" applyNumberFormat="1" applyFont="1" applyAlignment="1">
      <alignment horizontal="center"/>
    </xf>
    <xf numFmtId="3" fontId="4" fillId="0" borderId="21" xfId="0" applyNumberFormat="1" applyFont="1" applyBorder="1" applyAlignment="1" applyProtection="1">
      <alignment horizontal="center" vertical="center"/>
      <protection hidden="1"/>
    </xf>
    <xf numFmtId="3" fontId="4" fillId="0" borderId="19" xfId="0" applyNumberFormat="1" applyFont="1" applyBorder="1" applyAlignment="1" applyProtection="1">
      <alignment horizontal="center" vertical="center"/>
      <protection hidden="1"/>
    </xf>
    <xf numFmtId="3" fontId="4" fillId="0" borderId="22" xfId="0" applyNumberFormat="1" applyFont="1" applyBorder="1" applyAlignment="1" applyProtection="1">
      <alignment horizontal="center" vertical="center"/>
      <protection hidden="1"/>
    </xf>
    <xf numFmtId="3" fontId="4" fillId="0" borderId="8" xfId="0" applyNumberFormat="1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vertical="center"/>
      <protection hidden="1"/>
    </xf>
    <xf numFmtId="0" fontId="9" fillId="0" borderId="4" xfId="0" applyFont="1" applyBorder="1" applyAlignment="1" applyProtection="1">
      <alignment horizontal="right" vertical="center"/>
      <protection hidden="1"/>
    </xf>
    <xf numFmtId="166" fontId="9" fillId="0" borderId="4" xfId="0" applyNumberFormat="1" applyFont="1" applyBorder="1" applyAlignment="1" applyProtection="1">
      <alignment horizontal="right" vertical="center"/>
      <protection hidden="1"/>
    </xf>
    <xf numFmtId="3" fontId="9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7" fillId="0" borderId="0" xfId="0" applyFont="1" applyProtection="1">
      <protection hidden="1"/>
    </xf>
    <xf numFmtId="0" fontId="9" fillId="0" borderId="13" xfId="0" applyFont="1" applyBorder="1" applyAlignment="1">
      <alignment horizontal="center" vertical="center"/>
    </xf>
    <xf numFmtId="0" fontId="9" fillId="0" borderId="34" xfId="0" applyFont="1" applyBorder="1" applyAlignment="1">
      <alignment vertical="center"/>
    </xf>
    <xf numFmtId="0" fontId="9" fillId="0" borderId="43" xfId="0" applyFont="1" applyBorder="1" applyAlignment="1">
      <alignment horizontal="right" vertical="center"/>
    </xf>
    <xf numFmtId="9" fontId="10" fillId="7" borderId="32" xfId="2" applyFont="1" applyFill="1" applyBorder="1" applyAlignment="1" applyProtection="1">
      <alignment horizontal="center" vertical="center"/>
      <protection locked="0"/>
    </xf>
    <xf numFmtId="0" fontId="10" fillId="0" borderId="45" xfId="0" applyFont="1" applyBorder="1" applyAlignment="1">
      <alignment vertical="center"/>
    </xf>
    <xf numFmtId="0" fontId="9" fillId="0" borderId="46" xfId="0" applyFont="1" applyBorder="1" applyAlignment="1">
      <alignment horizontal="right" vertical="center"/>
    </xf>
    <xf numFmtId="0" fontId="4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horizontal="right" vertical="center"/>
    </xf>
    <xf numFmtId="0" fontId="9" fillId="0" borderId="46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9" fontId="10" fillId="7" borderId="47" xfId="2" applyFont="1" applyFill="1" applyBorder="1" applyAlignment="1" applyProtection="1">
      <alignment horizontal="center" vertical="center"/>
      <protection locked="0"/>
    </xf>
    <xf numFmtId="0" fontId="9" fillId="0" borderId="45" xfId="0" applyFont="1" applyBorder="1" applyAlignment="1">
      <alignment vertical="center"/>
    </xf>
    <xf numFmtId="3" fontId="4" fillId="0" borderId="51" xfId="0" applyNumberFormat="1" applyFont="1" applyBorder="1" applyAlignment="1" applyProtection="1">
      <alignment vertical="center"/>
      <protection hidden="1"/>
    </xf>
    <xf numFmtId="167" fontId="4" fillId="0" borderId="52" xfId="0" applyNumberFormat="1" applyFont="1" applyBorder="1" applyAlignment="1" applyProtection="1">
      <alignment vertical="center"/>
      <protection hidden="1"/>
    </xf>
    <xf numFmtId="167" fontId="5" fillId="3" borderId="38" xfId="0" applyNumberFormat="1" applyFont="1" applyFill="1" applyBorder="1" applyAlignment="1" applyProtection="1">
      <alignment vertical="center"/>
      <protection hidden="1"/>
    </xf>
    <xf numFmtId="167" fontId="5" fillId="3" borderId="35" xfId="0" applyNumberFormat="1" applyFont="1" applyFill="1" applyBorder="1" applyAlignment="1" applyProtection="1">
      <alignment vertical="center"/>
      <protection hidden="1"/>
    </xf>
    <xf numFmtId="3" fontId="5" fillId="3" borderId="38" xfId="0" applyNumberFormat="1" applyFont="1" applyFill="1" applyBorder="1" applyAlignment="1" applyProtection="1">
      <alignment vertical="center"/>
      <protection hidden="1"/>
    </xf>
    <xf numFmtId="3" fontId="4" fillId="0" borderId="49" xfId="0" applyNumberFormat="1" applyFont="1" applyBorder="1" applyAlignment="1" applyProtection="1">
      <alignment vertical="center"/>
      <protection hidden="1"/>
    </xf>
    <xf numFmtId="167" fontId="10" fillId="3" borderId="35" xfId="0" applyNumberFormat="1" applyFont="1" applyFill="1" applyBorder="1" applyAlignment="1" applyProtection="1">
      <alignment vertical="center"/>
      <protection hidden="1"/>
    </xf>
    <xf numFmtId="9" fontId="5" fillId="3" borderId="38" xfId="0" applyNumberFormat="1" applyFont="1" applyFill="1" applyBorder="1" applyAlignment="1" applyProtection="1">
      <alignment vertical="center"/>
      <protection hidden="1"/>
    </xf>
    <xf numFmtId="164" fontId="5" fillId="3" borderId="35" xfId="0" applyNumberFormat="1" applyFont="1" applyFill="1" applyBorder="1" applyAlignment="1" applyProtection="1">
      <alignment vertical="center"/>
      <protection hidden="1"/>
    </xf>
    <xf numFmtId="164" fontId="5" fillId="3" borderId="38" xfId="0" applyNumberFormat="1" applyFont="1" applyFill="1" applyBorder="1" applyAlignment="1" applyProtection="1">
      <alignment vertical="center"/>
      <protection hidden="1"/>
    </xf>
    <xf numFmtId="0" fontId="5" fillId="0" borderId="25" xfId="0" applyFont="1" applyBorder="1" applyAlignment="1">
      <alignment vertical="center"/>
    </xf>
    <xf numFmtId="3" fontId="5" fillId="0" borderId="39" xfId="0" applyNumberFormat="1" applyFont="1" applyBorder="1" applyAlignment="1" applyProtection="1">
      <alignment vertical="center"/>
      <protection hidden="1"/>
    </xf>
    <xf numFmtId="167" fontId="5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7" fillId="0" borderId="18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3" fontId="0" fillId="0" borderId="0" xfId="2" applyNumberFormat="1" applyFont="1"/>
    <xf numFmtId="0" fontId="3" fillId="0" borderId="0" xfId="0" applyFont="1" applyAlignment="1">
      <alignment horizontal="left" vertical="center" wrapText="1"/>
    </xf>
    <xf numFmtId="167" fontId="5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vertical="center"/>
      <protection hidden="1"/>
    </xf>
    <xf numFmtId="0" fontId="3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4" fillId="0" borderId="12" xfId="0" applyFont="1" applyBorder="1" applyAlignment="1">
      <alignment horizontal="right"/>
    </xf>
    <xf numFmtId="3" fontId="4" fillId="0" borderId="2" xfId="0" applyNumberFormat="1" applyFont="1" applyBorder="1"/>
    <xf numFmtId="9" fontId="4" fillId="0" borderId="2" xfId="2" applyFont="1" applyBorder="1"/>
    <xf numFmtId="0" fontId="4" fillId="0" borderId="2" xfId="0" applyFont="1" applyBorder="1"/>
    <xf numFmtId="167" fontId="4" fillId="0" borderId="2" xfId="0" applyNumberFormat="1" applyFont="1" applyBorder="1"/>
    <xf numFmtId="3" fontId="4" fillId="0" borderId="1" xfId="0" applyNumberFormat="1" applyFont="1" applyBorder="1"/>
    <xf numFmtId="0" fontId="0" fillId="0" borderId="27" xfId="0" applyBorder="1" applyAlignment="1">
      <alignment horizontal="right"/>
    </xf>
    <xf numFmtId="0" fontId="3" fillId="0" borderId="13" xfId="0" applyFont="1" applyBorder="1" applyAlignment="1">
      <alignment horizontal="right"/>
    </xf>
    <xf numFmtId="0" fontId="16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3" fillId="0" borderId="34" xfId="0" applyNumberFormat="1" applyFont="1" applyBorder="1"/>
    <xf numFmtId="9" fontId="10" fillId="0" borderId="17" xfId="2" applyFont="1" applyBorder="1"/>
    <xf numFmtId="0" fontId="3" fillId="0" borderId="65" xfId="0" applyFont="1" applyBorder="1" applyAlignment="1" applyProtection="1">
      <alignment horizontal="left" vertical="center"/>
      <protection hidden="1"/>
    </xf>
    <xf numFmtId="0" fontId="3" fillId="0" borderId="66" xfId="0" applyFont="1" applyBorder="1" applyAlignment="1" applyProtection="1">
      <alignment horizontal="left" vertical="center"/>
      <protection hidden="1"/>
    </xf>
    <xf numFmtId="1" fontId="4" fillId="3" borderId="63" xfId="0" applyNumberFormat="1" applyFont="1" applyFill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2" fillId="0" borderId="34" xfId="0" applyFont="1" applyBorder="1" applyAlignment="1">
      <alignment horizontal="center"/>
    </xf>
    <xf numFmtId="167" fontId="5" fillId="3" borderId="68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4" fillId="0" borderId="18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15" fillId="0" borderId="7" xfId="0" applyFont="1" applyBorder="1" applyProtection="1">
      <protection locked="0"/>
    </xf>
    <xf numFmtId="1" fontId="9" fillId="0" borderId="17" xfId="0" applyNumberFormat="1" applyFont="1" applyBorder="1" applyAlignment="1" applyProtection="1">
      <alignment horizontal="center"/>
      <protection hidden="1"/>
    </xf>
    <xf numFmtId="1" fontId="9" fillId="0" borderId="17" xfId="0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166" fontId="4" fillId="0" borderId="0" xfId="0" applyNumberFormat="1" applyFont="1"/>
    <xf numFmtId="0" fontId="15" fillId="0" borderId="0" xfId="0" applyFont="1"/>
    <xf numFmtId="0" fontId="4" fillId="8" borderId="27" xfId="0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28" xfId="0" applyFont="1" applyFill="1" applyBorder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3" fontId="4" fillId="0" borderId="19" xfId="0" applyNumberFormat="1" applyFont="1" applyBorder="1" applyAlignment="1" applyProtection="1">
      <alignment horizontal="right"/>
      <protection hidden="1"/>
    </xf>
    <xf numFmtId="3" fontId="4" fillId="0" borderId="7" xfId="0" applyNumberFormat="1" applyFont="1" applyBorder="1"/>
    <xf numFmtId="3" fontId="4" fillId="0" borderId="69" xfId="0" applyNumberFormat="1" applyFont="1" applyBorder="1"/>
    <xf numFmtId="3" fontId="4" fillId="0" borderId="68" xfId="0" applyNumberFormat="1" applyFont="1" applyBorder="1"/>
    <xf numFmtId="3" fontId="4" fillId="0" borderId="59" xfId="0" applyNumberFormat="1" applyFont="1" applyBorder="1"/>
    <xf numFmtId="3" fontId="4" fillId="0" borderId="41" xfId="0" applyNumberFormat="1" applyFont="1" applyBorder="1"/>
    <xf numFmtId="3" fontId="4" fillId="0" borderId="16" xfId="0" applyNumberFormat="1" applyFont="1" applyBorder="1"/>
    <xf numFmtId="3" fontId="4" fillId="0" borderId="70" xfId="0" applyNumberFormat="1" applyFont="1" applyBorder="1"/>
    <xf numFmtId="3" fontId="4" fillId="0" borderId="12" xfId="0" applyNumberFormat="1" applyFont="1" applyBorder="1"/>
    <xf numFmtId="0" fontId="4" fillId="0" borderId="2" xfId="0" applyFont="1" applyBorder="1" applyAlignment="1">
      <alignment horizontal="center"/>
    </xf>
    <xf numFmtId="166" fontId="4" fillId="0" borderId="2" xfId="0" applyNumberFormat="1" applyFont="1" applyBorder="1"/>
    <xf numFmtId="3" fontId="4" fillId="0" borderId="13" xfId="0" applyNumberFormat="1" applyFont="1" applyBorder="1"/>
    <xf numFmtId="3" fontId="4" fillId="0" borderId="34" xfId="0" applyNumberFormat="1" applyFont="1" applyBorder="1"/>
    <xf numFmtId="0" fontId="4" fillId="0" borderId="34" xfId="0" applyFont="1" applyBorder="1" applyAlignment="1">
      <alignment horizontal="center"/>
    </xf>
    <xf numFmtId="0" fontId="4" fillId="0" borderId="63" xfId="0" applyFont="1" applyBorder="1" applyAlignment="1">
      <alignment horizontal="center" vertical="center"/>
    </xf>
    <xf numFmtId="3" fontId="4" fillId="0" borderId="26" xfId="0" applyNumberFormat="1" applyFont="1" applyBorder="1"/>
    <xf numFmtId="3" fontId="4" fillId="0" borderId="13" xfId="0" applyNumberFormat="1" applyFont="1" applyBorder="1" applyAlignment="1">
      <alignment horizontal="center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27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27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72" xfId="0" applyFont="1" applyBorder="1" applyProtection="1">
      <protection hidden="1"/>
    </xf>
    <xf numFmtId="0" fontId="10" fillId="0" borderId="74" xfId="0" applyFont="1" applyBorder="1" applyProtection="1">
      <protection hidden="1"/>
    </xf>
    <xf numFmtId="0" fontId="10" fillId="0" borderId="0" xfId="0" applyFont="1" applyAlignment="1" applyProtection="1">
      <alignment vertical="center"/>
      <protection locked="0"/>
    </xf>
    <xf numFmtId="1" fontId="9" fillId="5" borderId="33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9" fillId="0" borderId="76" xfId="0" applyFont="1" applyBorder="1" applyAlignment="1">
      <alignment horizontal="right" vertical="center"/>
    </xf>
    <xf numFmtId="166" fontId="10" fillId="5" borderId="35" xfId="0" applyNumberFormat="1" applyFont="1" applyFill="1" applyBorder="1" applyAlignment="1" applyProtection="1">
      <alignment horizontal="center" vertical="center"/>
      <protection hidden="1"/>
    </xf>
    <xf numFmtId="0" fontId="9" fillId="0" borderId="45" xfId="0" applyFont="1" applyBorder="1" applyAlignment="1" applyProtection="1">
      <alignment vertical="center"/>
      <protection hidden="1"/>
    </xf>
    <xf numFmtId="0" fontId="10" fillId="0" borderId="76" xfId="0" applyFont="1" applyBorder="1" applyAlignment="1">
      <alignment horizontal="right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horizontal="left" vertical="center"/>
      <protection hidden="1"/>
    </xf>
    <xf numFmtId="0" fontId="9" fillId="0" borderId="76" xfId="0" quotePrefix="1" applyFont="1" applyBorder="1" applyAlignment="1">
      <alignment horizontal="right" vertical="center"/>
    </xf>
    <xf numFmtId="0" fontId="9" fillId="0" borderId="45" xfId="0" applyFont="1" applyBorder="1" applyAlignment="1" applyProtection="1">
      <alignment horizontal="left" vertical="center"/>
      <protection hidden="1"/>
    </xf>
    <xf numFmtId="0" fontId="10" fillId="0" borderId="76" xfId="0" applyFont="1" applyBorder="1" applyAlignment="1" applyProtection="1">
      <alignment horizontal="right" vertical="center"/>
      <protection hidden="1"/>
    </xf>
    <xf numFmtId="0" fontId="9" fillId="0" borderId="76" xfId="0" applyFont="1" applyBorder="1" applyAlignment="1" applyProtection="1">
      <alignment horizontal="right" vertical="center"/>
      <protection hidden="1"/>
    </xf>
    <xf numFmtId="0" fontId="10" fillId="0" borderId="77" xfId="0" applyFont="1" applyBorder="1" applyAlignment="1" applyProtection="1">
      <alignment vertical="center"/>
      <protection hidden="1"/>
    </xf>
    <xf numFmtId="0" fontId="9" fillId="0" borderId="28" xfId="0" applyFont="1" applyBorder="1" applyAlignment="1">
      <alignment horizontal="right" vertical="center"/>
    </xf>
    <xf numFmtId="0" fontId="10" fillId="0" borderId="13" xfId="0" applyFont="1" applyBorder="1" applyAlignment="1" applyProtection="1">
      <alignment horizontal="center" vertical="center"/>
      <protection hidden="1"/>
    </xf>
    <xf numFmtId="0" fontId="34" fillId="0" borderId="0" xfId="0" applyFont="1"/>
    <xf numFmtId="167" fontId="10" fillId="0" borderId="0" xfId="0" applyNumberFormat="1" applyFont="1" applyAlignment="1">
      <alignment horizontal="center"/>
    </xf>
    <xf numFmtId="164" fontId="10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0" fontId="10" fillId="0" borderId="31" xfId="0" applyFont="1" applyBorder="1" applyAlignment="1">
      <alignment vertical="center"/>
    </xf>
    <xf numFmtId="0" fontId="10" fillId="0" borderId="78" xfId="0" applyFont="1" applyBorder="1" applyAlignment="1">
      <alignment vertical="center"/>
    </xf>
    <xf numFmtId="0" fontId="10" fillId="0" borderId="46" xfId="0" quotePrefix="1" applyFont="1" applyBorder="1" applyAlignment="1">
      <alignment horizontal="right" vertical="center"/>
    </xf>
    <xf numFmtId="166" fontId="10" fillId="0" borderId="46" xfId="0" applyNumberFormat="1" applyFont="1" applyBorder="1" applyAlignment="1" applyProtection="1">
      <alignment horizontal="right" vertical="center"/>
      <protection locked="0"/>
    </xf>
    <xf numFmtId="0" fontId="10" fillId="0" borderId="13" xfId="0" applyFont="1" applyBorder="1" applyAlignment="1">
      <alignment horizontal="center" vertical="center"/>
    </xf>
    <xf numFmtId="9" fontId="10" fillId="3" borderId="17" xfId="0" applyNumberFormat="1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10" fillId="0" borderId="2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10" fillId="0" borderId="28" xfId="0" applyFont="1" applyBorder="1" applyAlignment="1">
      <alignment vertical="center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34" xfId="0" applyFont="1" applyBorder="1" applyAlignment="1" applyProtection="1">
      <alignment vertical="center"/>
      <protection locked="0"/>
    </xf>
    <xf numFmtId="0" fontId="10" fillId="0" borderId="26" xfId="0" applyFont="1" applyBorder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hidden="1"/>
    </xf>
    <xf numFmtId="0" fontId="4" fillId="0" borderId="27" xfId="0" applyFont="1" applyBorder="1" applyAlignment="1" applyProtection="1">
      <alignment vertical="center"/>
      <protection hidden="1"/>
    </xf>
    <xf numFmtId="0" fontId="10" fillId="0" borderId="34" xfId="0" applyFont="1" applyBorder="1" applyAlignment="1" applyProtection="1">
      <alignment horizontal="right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0" fillId="0" borderId="35" xfId="0" applyFont="1" applyBorder="1" applyAlignment="1" applyProtection="1">
      <alignment horizontal="center" vertical="center"/>
      <protection hidden="1"/>
    </xf>
    <xf numFmtId="0" fontId="4" fillId="0" borderId="27" xfId="0" applyFont="1" applyBorder="1" applyProtection="1">
      <protection hidden="1"/>
    </xf>
    <xf numFmtId="0" fontId="10" fillId="0" borderId="31" xfId="0" applyFont="1" applyBorder="1" applyAlignment="1">
      <alignment horizontal="right" vertical="center"/>
    </xf>
    <xf numFmtId="0" fontId="10" fillId="0" borderId="34" xfId="0" applyFont="1" applyBorder="1" applyAlignment="1" applyProtection="1">
      <alignment vertical="center"/>
      <protection hidden="1"/>
    </xf>
    <xf numFmtId="3" fontId="10" fillId="0" borderId="43" xfId="0" applyNumberFormat="1" applyFont="1" applyBorder="1" applyAlignment="1" applyProtection="1">
      <alignment vertical="center"/>
      <protection hidden="1"/>
    </xf>
    <xf numFmtId="0" fontId="10" fillId="0" borderId="83" xfId="0" applyFont="1" applyBorder="1" applyProtection="1">
      <protection hidden="1"/>
    </xf>
    <xf numFmtId="1" fontId="9" fillId="0" borderId="38" xfId="0" applyNumberFormat="1" applyFont="1" applyBorder="1" applyAlignment="1">
      <alignment horizontal="center"/>
    </xf>
    <xf numFmtId="17" fontId="26" fillId="0" borderId="48" xfId="0" applyNumberFormat="1" applyFont="1" applyBorder="1" applyAlignment="1" applyProtection="1">
      <alignment horizontal="center" vertical="center"/>
      <protection locked="0"/>
    </xf>
    <xf numFmtId="167" fontId="3" fillId="0" borderId="0" xfId="0" applyNumberFormat="1" applyFont="1" applyAlignment="1" applyProtection="1">
      <alignment vertical="center"/>
      <protection hidden="1"/>
    </xf>
    <xf numFmtId="166" fontId="10" fillId="0" borderId="45" xfId="0" applyNumberFormat="1" applyFont="1" applyBorder="1" applyAlignment="1" applyProtection="1">
      <alignment horizontal="right" vertical="center"/>
      <protection locked="0"/>
    </xf>
    <xf numFmtId="0" fontId="10" fillId="0" borderId="10" xfId="0" applyFont="1" applyBorder="1" applyAlignment="1">
      <alignment vertical="center"/>
    </xf>
    <xf numFmtId="0" fontId="10" fillId="0" borderId="27" xfId="0" applyFont="1" applyBorder="1" applyAlignment="1">
      <alignment horizontal="center"/>
    </xf>
    <xf numFmtId="0" fontId="10" fillId="0" borderId="61" xfId="0" applyFont="1" applyBorder="1" applyProtection="1">
      <protection hidden="1"/>
    </xf>
    <xf numFmtId="0" fontId="10" fillId="0" borderId="25" xfId="0" applyFont="1" applyBorder="1" applyProtection="1">
      <protection hidden="1"/>
    </xf>
    <xf numFmtId="0" fontId="10" fillId="7" borderId="16" xfId="0" applyFont="1" applyFill="1" applyBorder="1" applyAlignment="1" applyProtection="1">
      <alignment horizontal="left"/>
      <protection locked="0"/>
    </xf>
    <xf numFmtId="0" fontId="10" fillId="0" borderId="10" xfId="0" applyFont="1" applyBorder="1"/>
    <xf numFmtId="0" fontId="10" fillId="7" borderId="10" xfId="0" applyFont="1" applyFill="1" applyBorder="1" applyAlignment="1" applyProtection="1">
      <alignment horizontal="left"/>
      <protection locked="0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4" xfId="0" applyFont="1" applyBorder="1" applyAlignment="1">
      <alignment horizontal="center" vertical="center"/>
    </xf>
    <xf numFmtId="0" fontId="10" fillId="0" borderId="7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27" xfId="0" applyFont="1" applyBorder="1"/>
    <xf numFmtId="0" fontId="10" fillId="0" borderId="25" xfId="0" applyFont="1" applyBorder="1" applyAlignment="1" applyProtection="1">
      <alignment vertical="center"/>
      <protection locked="0"/>
    </xf>
    <xf numFmtId="167" fontId="5" fillId="3" borderId="44" xfId="0" applyNumberFormat="1" applyFont="1" applyFill="1" applyBorder="1" applyAlignment="1" applyProtection="1">
      <alignment vertical="center"/>
      <protection hidden="1"/>
    </xf>
    <xf numFmtId="9" fontId="5" fillId="3" borderId="38" xfId="0" applyNumberFormat="1" applyFont="1" applyFill="1" applyBorder="1" applyAlignment="1" applyProtection="1">
      <alignment vertical="center"/>
      <protection locked="0" hidden="1"/>
    </xf>
    <xf numFmtId="0" fontId="35" fillId="0" borderId="74" xfId="0" applyFont="1" applyBorder="1"/>
    <xf numFmtId="0" fontId="0" fillId="0" borderId="73" xfId="0" applyBorder="1"/>
    <xf numFmtId="164" fontId="10" fillId="7" borderId="38" xfId="0" applyNumberFormat="1" applyFont="1" applyFill="1" applyBorder="1" applyAlignment="1" applyProtection="1">
      <alignment horizontal="center" vertical="center"/>
      <protection locked="0"/>
    </xf>
    <xf numFmtId="164" fontId="10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6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4" fillId="10" borderId="21" xfId="0" applyNumberFormat="1" applyFont="1" applyFill="1" applyBorder="1" applyAlignment="1" applyProtection="1">
      <alignment horizontal="center" vertical="center"/>
      <protection hidden="1"/>
    </xf>
    <xf numFmtId="3" fontId="4" fillId="10" borderId="19" xfId="0" applyNumberFormat="1" applyFont="1" applyFill="1" applyBorder="1" applyAlignment="1" applyProtection="1">
      <alignment horizontal="center" vertical="center"/>
      <protection hidden="1"/>
    </xf>
    <xf numFmtId="3" fontId="3" fillId="10" borderId="17" xfId="0" applyNumberFormat="1" applyFont="1" applyFill="1" applyBorder="1" applyProtection="1">
      <protection hidden="1"/>
    </xf>
    <xf numFmtId="3" fontId="4" fillId="10" borderId="22" xfId="0" applyNumberFormat="1" applyFont="1" applyFill="1" applyBorder="1" applyAlignment="1" applyProtection="1">
      <alignment horizontal="center" vertical="center"/>
      <protection hidden="1"/>
    </xf>
    <xf numFmtId="166" fontId="41" fillId="7" borderId="103" xfId="0" applyNumberFormat="1" applyFont="1" applyFill="1" applyBorder="1" applyAlignment="1" applyProtection="1">
      <alignment horizontal="center" vertical="center"/>
      <protection locked="0"/>
    </xf>
    <xf numFmtId="0" fontId="36" fillId="0" borderId="0" xfId="0" applyFont="1"/>
    <xf numFmtId="0" fontId="5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10" fillId="0" borderId="13" xfId="0" applyFont="1" applyBorder="1" applyAlignment="1" applyProtection="1">
      <alignment vertical="center"/>
      <protection locked="0"/>
    </xf>
    <xf numFmtId="0" fontId="5" fillId="0" borderId="23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9" fillId="0" borderId="17" xfId="0" applyNumberFormat="1" applyFont="1" applyBorder="1" applyAlignment="1">
      <alignment horizontal="center" vertical="center"/>
    </xf>
    <xf numFmtId="1" fontId="10" fillId="7" borderId="17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3" fontId="10" fillId="5" borderId="32" xfId="0" applyNumberFormat="1" applyFont="1" applyFill="1" applyBorder="1" applyAlignment="1" applyProtection="1">
      <alignment horizontal="center" vertical="center"/>
      <protection hidden="1"/>
    </xf>
    <xf numFmtId="1" fontId="9" fillId="0" borderId="32" xfId="0" applyNumberFormat="1" applyFont="1" applyBorder="1" applyAlignment="1">
      <alignment horizontal="center"/>
    </xf>
    <xf numFmtId="0" fontId="10" fillId="0" borderId="25" xfId="0" applyFont="1" applyBorder="1" applyAlignment="1">
      <alignment vertical="center"/>
    </xf>
    <xf numFmtId="0" fontId="5" fillId="7" borderId="32" xfId="0" applyFont="1" applyFill="1" applyBorder="1" applyAlignment="1" applyProtection="1">
      <alignment horizontal="center" vertical="center"/>
      <protection locked="0"/>
    </xf>
    <xf numFmtId="0" fontId="5" fillId="7" borderId="17" xfId="0" applyFont="1" applyFill="1" applyBorder="1" applyAlignment="1" applyProtection="1">
      <alignment horizontal="center" vertical="center"/>
      <protection locked="0"/>
    </xf>
    <xf numFmtId="0" fontId="5" fillId="7" borderId="85" xfId="0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17" xfId="0" applyNumberFormat="1" applyFont="1" applyFill="1" applyBorder="1" applyAlignment="1" applyProtection="1">
      <alignment horizontal="center" vertical="center"/>
      <protection locked="0"/>
    </xf>
    <xf numFmtId="1" fontId="5" fillId="7" borderId="85" xfId="0" applyNumberFormat="1" applyFont="1" applyFill="1" applyBorder="1" applyAlignment="1" applyProtection="1">
      <alignment horizontal="center" vertical="center"/>
      <protection locked="0"/>
    </xf>
    <xf numFmtId="1" fontId="2" fillId="8" borderId="63" xfId="0" applyNumberFormat="1" applyFont="1" applyFill="1" applyBorder="1" applyAlignment="1" applyProtection="1">
      <alignment horizontal="center" vertical="center"/>
      <protection hidden="1"/>
    </xf>
    <xf numFmtId="0" fontId="2" fillId="5" borderId="4" xfId="0" applyFont="1" applyFill="1" applyBorder="1" applyAlignment="1" applyProtection="1">
      <alignment vertical="center"/>
      <protection hidden="1"/>
    </xf>
    <xf numFmtId="3" fontId="2" fillId="0" borderId="61" xfId="0" applyNumberFormat="1" applyFont="1" applyBorder="1" applyAlignment="1" applyProtection="1">
      <alignment vertical="center"/>
      <protection hidden="1"/>
    </xf>
    <xf numFmtId="167" fontId="5" fillId="0" borderId="0" xfId="0" applyNumberFormat="1" applyFont="1" applyAlignment="1">
      <alignment horizontal="center"/>
    </xf>
    <xf numFmtId="0" fontId="10" fillId="0" borderId="2" xfId="0" applyFont="1" applyBorder="1" applyAlignment="1" applyProtection="1">
      <alignment vertical="center"/>
      <protection locked="0"/>
    </xf>
    <xf numFmtId="0" fontId="2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4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0" fillId="0" borderId="0" xfId="2" applyNumberFormat="1" applyFont="1"/>
    <xf numFmtId="3" fontId="10" fillId="0" borderId="0" xfId="2" applyNumberFormat="1" applyFont="1"/>
    <xf numFmtId="9" fontId="10" fillId="0" borderId="0" xfId="2" applyFont="1"/>
    <xf numFmtId="1" fontId="4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7" fillId="0" borderId="0" xfId="0" applyNumberFormat="1" applyFont="1" applyAlignment="1">
      <alignment horizontal="right"/>
    </xf>
    <xf numFmtId="0" fontId="37" fillId="0" borderId="0" xfId="0" applyFont="1"/>
    <xf numFmtId="1" fontId="37" fillId="0" borderId="0" xfId="0" applyNumberFormat="1" applyFont="1" applyAlignment="1">
      <alignment horizontal="right"/>
    </xf>
    <xf numFmtId="0" fontId="10" fillId="0" borderId="16" xfId="0" applyFont="1" applyBorder="1" applyAlignment="1">
      <alignment horizontal="left" vertical="center"/>
    </xf>
    <xf numFmtId="0" fontId="21" fillId="0" borderId="0" xfId="0" applyFont="1" applyAlignment="1">
      <alignment horizontal="left" vertical="center" wrapText="1"/>
    </xf>
    <xf numFmtId="0" fontId="10" fillId="0" borderId="77" xfId="0" applyFont="1" applyBorder="1" applyAlignment="1">
      <alignment vertical="center"/>
    </xf>
    <xf numFmtId="0" fontId="10" fillId="0" borderId="78" xfId="0" applyFont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9" fillId="0" borderId="31" xfId="0" applyFont="1" applyBorder="1" applyAlignment="1">
      <alignment vertical="center"/>
    </xf>
    <xf numFmtId="0" fontId="9" fillId="0" borderId="93" xfId="0" applyFont="1" applyBorder="1" applyAlignment="1">
      <alignment vertical="center"/>
    </xf>
    <xf numFmtId="0" fontId="9" fillId="0" borderId="94" xfId="0" applyFont="1" applyBorder="1" applyAlignment="1">
      <alignment horizontal="right" vertical="center"/>
    </xf>
    <xf numFmtId="0" fontId="9" fillId="0" borderId="93" xfId="0" applyFont="1" applyBorder="1" applyAlignment="1">
      <alignment horizontal="right" vertical="center"/>
    </xf>
    <xf numFmtId="166" fontId="9" fillId="0" borderId="94" xfId="0" applyNumberFormat="1" applyFont="1" applyBorder="1" applyAlignment="1" applyProtection="1">
      <alignment horizontal="right" vertical="center"/>
      <protection locked="0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4" fillId="0" borderId="12" xfId="0" applyFont="1" applyBorder="1" applyAlignment="1">
      <alignment vertical="center"/>
    </xf>
    <xf numFmtId="3" fontId="10" fillId="0" borderId="34" xfId="0" applyNumberFormat="1" applyFont="1" applyBorder="1" applyAlignment="1" applyProtection="1">
      <alignment vertical="center"/>
      <protection hidden="1"/>
    </xf>
    <xf numFmtId="0" fontId="10" fillId="0" borderId="95" xfId="0" applyFont="1" applyBorder="1" applyAlignment="1">
      <alignment vertical="center"/>
    </xf>
    <xf numFmtId="0" fontId="4" fillId="0" borderId="96" xfId="0" applyFont="1" applyBorder="1" applyAlignment="1">
      <alignment horizontal="right" vertical="center"/>
    </xf>
    <xf numFmtId="0" fontId="10" fillId="0" borderId="46" xfId="0" applyFont="1" applyBorder="1" applyAlignment="1" applyProtection="1">
      <alignment vertical="center"/>
      <protection hidden="1"/>
    </xf>
    <xf numFmtId="0" fontId="10" fillId="0" borderId="95" xfId="0" applyFont="1" applyBorder="1" applyAlignment="1" applyProtection="1">
      <alignment vertical="center"/>
      <protection hidden="1"/>
    </xf>
    <xf numFmtId="0" fontId="10" fillId="0" borderId="96" xfId="0" applyFont="1" applyBorder="1" applyAlignment="1" applyProtection="1">
      <alignment vertical="center"/>
      <protection hidden="1"/>
    </xf>
    <xf numFmtId="0" fontId="16" fillId="0" borderId="7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vertical="center"/>
      <protection locked="0"/>
    </xf>
    <xf numFmtId="0" fontId="3" fillId="0" borderId="8" xfId="0" applyFont="1" applyBorder="1" applyAlignment="1" applyProtection="1">
      <alignment vertic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0" borderId="31" xfId="0" applyFont="1" applyBorder="1" applyAlignment="1" applyProtection="1">
      <alignment vertical="center"/>
      <protection locked="0"/>
    </xf>
    <xf numFmtId="0" fontId="10" fillId="0" borderId="16" xfId="0" applyFont="1" applyBorder="1" applyAlignment="1" applyProtection="1">
      <alignment vertical="center"/>
      <protection locked="0"/>
    </xf>
    <xf numFmtId="0" fontId="10" fillId="2" borderId="16" xfId="0" applyFont="1" applyFill="1" applyBorder="1" applyAlignment="1" applyProtection="1">
      <alignment vertical="center"/>
      <protection locked="0"/>
    </xf>
    <xf numFmtId="0" fontId="10" fillId="0" borderId="60" xfId="0" applyFont="1" applyBorder="1" applyAlignment="1" applyProtection="1">
      <alignment vertical="center"/>
      <protection locked="0"/>
    </xf>
    <xf numFmtId="0" fontId="10" fillId="2" borderId="31" xfId="0" applyFont="1" applyFill="1" applyBorder="1" applyAlignment="1" applyProtection="1">
      <alignment vertical="center"/>
      <protection locked="0"/>
    </xf>
    <xf numFmtId="0" fontId="10" fillId="0" borderId="0" xfId="1" applyFont="1" applyAlignment="1" applyProtection="1">
      <alignment vertical="center"/>
      <protection locked="0"/>
    </xf>
    <xf numFmtId="3" fontId="1" fillId="2" borderId="0" xfId="0" applyNumberFormat="1" applyFont="1" applyFill="1" applyProtection="1">
      <protection hidden="1"/>
    </xf>
    <xf numFmtId="17" fontId="4" fillId="0" borderId="0" xfId="0" applyNumberFormat="1" applyFont="1"/>
    <xf numFmtId="17" fontId="9" fillId="0" borderId="0" xfId="0" applyNumberFormat="1" applyFont="1"/>
    <xf numFmtId="1" fontId="9" fillId="0" borderId="0" xfId="0" applyNumberFormat="1" applyFont="1"/>
    <xf numFmtId="3" fontId="9" fillId="0" borderId="0" xfId="0" applyNumberFormat="1" applyFont="1"/>
    <xf numFmtId="0" fontId="10" fillId="11" borderId="0" xfId="0" applyFont="1" applyFill="1"/>
    <xf numFmtId="3" fontId="10" fillId="11" borderId="0" xfId="0" applyNumberFormat="1" applyFont="1" applyFill="1"/>
    <xf numFmtId="0" fontId="1" fillId="0" borderId="0" xfId="0" applyFont="1"/>
    <xf numFmtId="0" fontId="9" fillId="0" borderId="0" xfId="0" applyFont="1" applyAlignment="1">
      <alignment horizontal="center"/>
    </xf>
    <xf numFmtId="0" fontId="9" fillId="0" borderId="12" xfId="0" applyFont="1" applyBorder="1"/>
    <xf numFmtId="17" fontId="9" fillId="0" borderId="2" xfId="0" applyNumberFormat="1" applyFont="1" applyBorder="1"/>
    <xf numFmtId="17" fontId="9" fillId="0" borderId="1" xfId="0" applyNumberFormat="1" applyFont="1" applyBorder="1"/>
    <xf numFmtId="0" fontId="9" fillId="0" borderId="27" xfId="0" applyFont="1" applyBorder="1" applyAlignment="1">
      <alignment horizontal="center"/>
    </xf>
    <xf numFmtId="1" fontId="9" fillId="0" borderId="28" xfId="0" applyNumberFormat="1" applyFont="1" applyBorder="1"/>
    <xf numFmtId="0" fontId="9" fillId="0" borderId="28" xfId="0" applyFont="1" applyBorder="1"/>
    <xf numFmtId="0" fontId="10" fillId="0" borderId="28" xfId="0" applyFont="1" applyBorder="1"/>
    <xf numFmtId="0" fontId="10" fillId="0" borderId="13" xfId="0" applyFont="1" applyBorder="1"/>
    <xf numFmtId="0" fontId="9" fillId="0" borderId="34" xfId="0" applyFont="1" applyBorder="1" applyAlignment="1">
      <alignment horizontal="right"/>
    </xf>
    <xf numFmtId="3" fontId="9" fillId="0" borderId="34" xfId="0" applyNumberFormat="1" applyFont="1" applyBorder="1"/>
    <xf numFmtId="0" fontId="0" fillId="0" borderId="0" xfId="0" applyProtection="1">
      <protection locked="0"/>
    </xf>
    <xf numFmtId="0" fontId="45" fillId="0" borderId="34" xfId="0" applyFont="1" applyBorder="1" applyAlignment="1">
      <alignment vertical="center"/>
    </xf>
    <xf numFmtId="0" fontId="3" fillId="0" borderId="34" xfId="0" applyFont="1" applyBorder="1" applyAlignment="1" applyProtection="1">
      <alignment horizontal="left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4" fillId="0" borderId="27" xfId="0" applyFont="1" applyBorder="1" applyAlignment="1">
      <alignment horizontal="center"/>
    </xf>
    <xf numFmtId="9" fontId="10" fillId="3" borderId="38" xfId="0" applyNumberFormat="1" applyFont="1" applyFill="1" applyBorder="1" applyAlignment="1" applyProtection="1">
      <alignment vertical="center"/>
      <protection hidden="1"/>
    </xf>
    <xf numFmtId="0" fontId="1" fillId="0" borderId="0" xfId="0" applyFont="1" applyAlignment="1">
      <alignment horizontal="right"/>
    </xf>
    <xf numFmtId="0" fontId="7" fillId="0" borderId="0" xfId="0" applyFont="1" applyAlignment="1">
      <alignment vertical="center"/>
    </xf>
    <xf numFmtId="2" fontId="3" fillId="0" borderId="0" xfId="0" applyNumberFormat="1" applyFont="1" applyAlignment="1">
      <alignment horizontal="left" vertical="center"/>
    </xf>
    <xf numFmtId="0" fontId="10" fillId="0" borderId="7" xfId="0" applyFont="1" applyBorder="1" applyAlignment="1" applyProtection="1">
      <alignment vertical="center"/>
      <protection locked="0"/>
    </xf>
    <xf numFmtId="0" fontId="10" fillId="0" borderId="73" xfId="0" applyFont="1" applyBorder="1" applyAlignment="1">
      <alignment horizontal="left" vertical="center"/>
    </xf>
    <xf numFmtId="0" fontId="0" fillId="0" borderId="74" xfId="0" applyBorder="1"/>
    <xf numFmtId="0" fontId="9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10" fillId="0" borderId="71" xfId="0" applyFont="1" applyBorder="1" applyAlignment="1" applyProtection="1">
      <alignment horizontal="left" vertical="center"/>
      <protection hidden="1"/>
    </xf>
    <xf numFmtId="0" fontId="10" fillId="0" borderId="72" xfId="0" applyFont="1" applyBorder="1" applyAlignment="1" applyProtection="1">
      <alignment horizontal="left" vertical="center"/>
      <protection hidden="1"/>
    </xf>
    <xf numFmtId="0" fontId="10" fillId="0" borderId="73" xfId="0" applyFont="1" applyBorder="1" applyAlignment="1" applyProtection="1">
      <alignment horizontal="left" vertical="center"/>
      <protection hidden="1"/>
    </xf>
    <xf numFmtId="0" fontId="10" fillId="0" borderId="74" xfId="0" applyFont="1" applyBorder="1" applyAlignment="1" applyProtection="1">
      <alignment horizontal="left" vertical="center"/>
      <protection hidden="1"/>
    </xf>
    <xf numFmtId="0" fontId="10" fillId="0" borderId="73" xfId="0" applyFont="1" applyBorder="1" applyAlignment="1" applyProtection="1">
      <alignment vertical="center"/>
      <protection hidden="1"/>
    </xf>
    <xf numFmtId="0" fontId="16" fillId="0" borderId="0" xfId="0" applyFont="1" applyAlignment="1">
      <alignment vertical="center"/>
    </xf>
    <xf numFmtId="3" fontId="10" fillId="0" borderId="34" xfId="0" applyNumberFormat="1" applyFont="1" applyBorder="1" applyAlignment="1">
      <alignment horizontal="right" vertical="center"/>
    </xf>
    <xf numFmtId="3" fontId="10" fillId="0" borderId="45" xfId="0" applyNumberFormat="1" applyFont="1" applyBorder="1" applyAlignment="1" applyProtection="1">
      <alignment horizontal="right" vertical="center"/>
      <protection locked="0"/>
    </xf>
    <xf numFmtId="3" fontId="10" fillId="0" borderId="45" xfId="0" quotePrefix="1" applyNumberFormat="1" applyFont="1" applyBorder="1" applyAlignment="1" applyProtection="1">
      <alignment horizontal="right" vertical="center"/>
      <protection locked="0"/>
    </xf>
    <xf numFmtId="3" fontId="10" fillId="0" borderId="45" xfId="0" applyNumberFormat="1" applyFont="1" applyBorder="1" applyAlignment="1" applyProtection="1">
      <alignment horizontal="right" vertical="center" wrapText="1"/>
      <protection hidden="1"/>
    </xf>
    <xf numFmtId="0" fontId="10" fillId="0" borderId="43" xfId="0" applyFont="1" applyBorder="1" applyAlignment="1" applyProtection="1">
      <alignment horizontal="right" vertical="center"/>
      <protection hidden="1"/>
    </xf>
    <xf numFmtId="0" fontId="10" fillId="0" borderId="27" xfId="0" applyFont="1" applyBorder="1" applyAlignment="1" applyProtection="1">
      <alignment horizontal="left"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37" fillId="0" borderId="0" xfId="0" applyFont="1" applyAlignment="1" applyProtection="1">
      <alignment horizontal="left" vertical="center"/>
      <protection hidden="1"/>
    </xf>
    <xf numFmtId="1" fontId="10" fillId="3" borderId="17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167" fontId="5" fillId="0" borderId="0" xfId="0" applyNumberFormat="1" applyFont="1" applyAlignment="1" applyProtection="1">
      <alignment horizontal="right"/>
      <protection hidden="1"/>
    </xf>
    <xf numFmtId="0" fontId="4" fillId="0" borderId="31" xfId="0" applyFont="1" applyBorder="1" applyAlignment="1">
      <alignment vertical="center"/>
    </xf>
    <xf numFmtId="0" fontId="10" fillId="0" borderId="0" xfId="0" applyFont="1" applyAlignment="1">
      <alignment horizontal="left" vertical="center" wrapText="1"/>
    </xf>
    <xf numFmtId="0" fontId="4" fillId="0" borderId="0" xfId="0" applyFont="1" applyAlignment="1" applyProtection="1">
      <alignment horizontal="left" vertical="center"/>
      <protection hidden="1"/>
    </xf>
    <xf numFmtId="0" fontId="10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2" fillId="0" borderId="5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67" fontId="0" fillId="0" borderId="17" xfId="0" applyNumberFormat="1" applyBorder="1"/>
    <xf numFmtId="0" fontId="10" fillId="0" borderId="25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10" xfId="0" applyFont="1" applyBorder="1" applyAlignment="1">
      <alignment horizontal="left"/>
    </xf>
    <xf numFmtId="3" fontId="10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7" fillId="0" borderId="0" xfId="0" applyNumberFormat="1" applyFont="1" applyAlignment="1">
      <alignment vertical="center"/>
    </xf>
    <xf numFmtId="0" fontId="10" fillId="0" borderId="45" xfId="0" applyFont="1" applyBorder="1" applyAlignment="1">
      <alignment horizontal="left" vertical="center" wrapText="1"/>
    </xf>
    <xf numFmtId="1" fontId="5" fillId="7" borderId="6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right" vertical="top" wrapText="1"/>
    </xf>
    <xf numFmtId="0" fontId="10" fillId="0" borderId="77" xfId="0" applyFont="1" applyBorder="1" applyAlignment="1">
      <alignment horizontal="right" vertical="center"/>
    </xf>
    <xf numFmtId="0" fontId="2" fillId="7" borderId="48" xfId="0" applyFont="1" applyFill="1" applyBorder="1" applyAlignment="1" applyProtection="1">
      <alignment horizontal="center" vertical="center"/>
      <protection locked="0"/>
    </xf>
    <xf numFmtId="1" fontId="5" fillId="7" borderId="36" xfId="0" applyNumberFormat="1" applyFont="1" applyFill="1" applyBorder="1" applyAlignment="1" applyProtection="1">
      <alignment horizontal="center" vertical="center"/>
      <protection locked="0"/>
    </xf>
    <xf numFmtId="0" fontId="2" fillId="5" borderId="34" xfId="0" applyFont="1" applyFill="1" applyBorder="1" applyAlignment="1" applyProtection="1">
      <alignment vertical="center"/>
      <protection hidden="1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1" fillId="0" borderId="20" xfId="0" applyFont="1" applyBorder="1" applyAlignment="1">
      <alignment horizontal="center" vertical="center"/>
    </xf>
    <xf numFmtId="0" fontId="10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0" fillId="0" borderId="23" xfId="0" applyFont="1" applyBorder="1" applyAlignment="1" applyProtection="1">
      <alignment vertical="center"/>
      <protection locked="0"/>
    </xf>
    <xf numFmtId="0" fontId="10" fillId="7" borderId="17" xfId="0" applyFont="1" applyFill="1" applyBorder="1" applyAlignment="1" applyProtection="1">
      <alignment horizontal="center" vertical="center"/>
      <protection locked="0"/>
    </xf>
    <xf numFmtId="0" fontId="10" fillId="0" borderId="121" xfId="0" applyFont="1" applyBorder="1" applyAlignment="1" applyProtection="1">
      <alignment vertical="center"/>
      <protection hidden="1"/>
    </xf>
    <xf numFmtId="0" fontId="9" fillId="0" borderId="122" xfId="0" applyFont="1" applyBorder="1" applyAlignment="1">
      <alignment horizontal="right" vertical="center"/>
    </xf>
    <xf numFmtId="0" fontId="9" fillId="0" borderId="123" xfId="0" quotePrefix="1" applyFont="1" applyBorder="1" applyAlignment="1">
      <alignment horizontal="right" vertical="center"/>
    </xf>
    <xf numFmtId="0" fontId="3" fillId="0" borderId="16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14" fontId="4" fillId="0" borderId="16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14" fontId="4" fillId="0" borderId="16" xfId="0" applyNumberFormat="1" applyFont="1" applyBorder="1" applyAlignment="1" applyProtection="1">
      <alignment horizontal="left" vertical="center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0" fontId="0" fillId="0" borderId="0" xfId="0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7" fillId="0" borderId="0" xfId="0" applyFont="1" applyAlignment="1" applyProtection="1">
      <alignment horizontal="left" vertical="center"/>
      <protection hidden="1"/>
    </xf>
    <xf numFmtId="1" fontId="3" fillId="0" borderId="0" xfId="0" applyNumberFormat="1" applyFont="1" applyAlignment="1" applyProtection="1">
      <alignment horizontal="left" vertical="center"/>
      <protection hidden="1"/>
    </xf>
    <xf numFmtId="14" fontId="9" fillId="7" borderId="0" xfId="0" applyNumberFormat="1" applyFont="1" applyFill="1" applyAlignment="1" applyProtection="1">
      <alignment horizontal="left"/>
      <protection locked="0"/>
    </xf>
    <xf numFmtId="14" fontId="9" fillId="0" borderId="0" xfId="0" applyNumberFormat="1" applyFont="1" applyAlignment="1" applyProtection="1">
      <alignment horizontal="left"/>
      <protection locked="0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5" fillId="0" borderId="58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5" fillId="0" borderId="89" xfId="0" applyNumberFormat="1" applyFont="1" applyBorder="1" applyAlignment="1" applyProtection="1">
      <alignment horizontal="center" vertical="center"/>
      <protection hidden="1"/>
    </xf>
    <xf numFmtId="3" fontId="2" fillId="0" borderId="119" xfId="0" applyNumberFormat="1" applyFont="1" applyBorder="1" applyAlignment="1" applyProtection="1">
      <alignment horizontal="center" vertical="center"/>
      <protection hidden="1"/>
    </xf>
    <xf numFmtId="3" fontId="5" fillId="7" borderId="32" xfId="0" applyNumberFormat="1" applyFont="1" applyFill="1" applyBorder="1" applyAlignment="1" applyProtection="1">
      <alignment horizontal="center" vertical="center"/>
      <protection locked="0"/>
    </xf>
    <xf numFmtId="164" fontId="5" fillId="7" borderId="33" xfId="2" applyNumberFormat="1" applyFont="1" applyFill="1" applyBorder="1" applyAlignment="1" applyProtection="1">
      <alignment horizontal="center" vertical="center"/>
      <protection locked="0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4" fontId="5" fillId="7" borderId="35" xfId="2" applyNumberFormat="1" applyFont="1" applyFill="1" applyBorder="1" applyAlignment="1" applyProtection="1">
      <alignment horizontal="center" vertical="center"/>
      <protection locked="0"/>
    </xf>
    <xf numFmtId="3" fontId="5" fillId="7" borderId="85" xfId="0" applyNumberFormat="1" applyFont="1" applyFill="1" applyBorder="1" applyAlignment="1" applyProtection="1">
      <alignment horizontal="center" vertical="center"/>
      <protection locked="0"/>
    </xf>
    <xf numFmtId="164" fontId="5" fillId="7" borderId="89" xfId="2" applyNumberFormat="1" applyFont="1" applyFill="1" applyBorder="1" applyAlignment="1" applyProtection="1">
      <alignment horizontal="center" vertical="center"/>
      <protection locked="0"/>
    </xf>
    <xf numFmtId="0" fontId="2" fillId="3" borderId="118" xfId="0" applyFont="1" applyFill="1" applyBorder="1" applyAlignment="1">
      <alignment horizontal="center" vertical="center"/>
    </xf>
    <xf numFmtId="0" fontId="2" fillId="3" borderId="119" xfId="0" applyFont="1" applyFill="1" applyBorder="1" applyAlignment="1">
      <alignment horizontal="center" vertical="center"/>
    </xf>
    <xf numFmtId="3" fontId="5" fillId="7" borderId="54" xfId="0" applyNumberFormat="1" applyFont="1" applyFill="1" applyBorder="1" applyAlignment="1" applyProtection="1">
      <alignment horizontal="center" vertical="center"/>
      <protection locked="0"/>
    </xf>
    <xf numFmtId="3" fontId="5" fillId="7" borderId="16" xfId="0" applyNumberFormat="1" applyFont="1" applyFill="1" applyBorder="1" applyAlignment="1" applyProtection="1">
      <alignment horizontal="center" vertical="center"/>
      <protection locked="0"/>
    </xf>
    <xf numFmtId="3" fontId="5" fillId="0" borderId="23" xfId="0" applyNumberFormat="1" applyFont="1" applyBorder="1" applyAlignment="1" applyProtection="1">
      <alignment horizontal="center" vertical="center"/>
      <protection hidden="1"/>
    </xf>
    <xf numFmtId="3" fontId="5" fillId="0" borderId="54" xfId="0" applyNumberFormat="1" applyFont="1" applyBorder="1" applyAlignment="1" applyProtection="1">
      <alignment horizontal="center" vertical="center"/>
      <protection hidden="1"/>
    </xf>
    <xf numFmtId="3" fontId="5" fillId="0" borderId="33" xfId="0" applyNumberFormat="1" applyFont="1" applyBorder="1" applyAlignment="1" applyProtection="1">
      <alignment horizontal="center" vertical="center"/>
      <protection hidden="1"/>
    </xf>
    <xf numFmtId="3" fontId="5" fillId="7" borderId="53" xfId="0" applyNumberFormat="1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center" vertical="center"/>
      <protection hidden="1"/>
    </xf>
    <xf numFmtId="3" fontId="5" fillId="0" borderId="53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3" fontId="5" fillId="0" borderId="39" xfId="0" applyNumberFormat="1" applyFont="1" applyBorder="1" applyAlignment="1" applyProtection="1">
      <alignment horizontal="center" vertical="center"/>
      <protection hidden="1"/>
    </xf>
    <xf numFmtId="3" fontId="5" fillId="0" borderId="14" xfId="0" applyNumberFormat="1" applyFont="1" applyBorder="1" applyAlignment="1">
      <alignment horizontal="center" vertical="center"/>
    </xf>
    <xf numFmtId="3" fontId="5" fillId="0" borderId="57" xfId="0" applyNumberFormat="1" applyFont="1" applyBorder="1" applyAlignment="1">
      <alignment horizontal="center" vertical="center"/>
    </xf>
    <xf numFmtId="3" fontId="5" fillId="0" borderId="14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7" borderId="39" xfId="0" applyNumberFormat="1" applyFont="1" applyFill="1" applyBorder="1" applyAlignment="1" applyProtection="1">
      <alignment horizontal="center" vertical="center"/>
      <protection locked="0"/>
    </xf>
    <xf numFmtId="3" fontId="5" fillId="7" borderId="14" xfId="0" applyNumberFormat="1" applyFont="1" applyFill="1" applyBorder="1" applyAlignment="1" applyProtection="1">
      <alignment horizontal="center" vertical="center"/>
      <protection locked="0"/>
    </xf>
    <xf numFmtId="3" fontId="5" fillId="0" borderId="37" xfId="0" applyNumberFormat="1" applyFont="1" applyBorder="1" applyAlignment="1" applyProtection="1">
      <alignment horizontal="center" vertical="center"/>
      <protection hidden="1"/>
    </xf>
    <xf numFmtId="3" fontId="5" fillId="5" borderId="38" xfId="0" applyNumberFormat="1" applyFont="1" applyFill="1" applyBorder="1" applyAlignment="1">
      <alignment horizontal="center" vertical="center"/>
    </xf>
    <xf numFmtId="3" fontId="5" fillId="0" borderId="16" xfId="0" applyNumberFormat="1" applyFont="1" applyBorder="1" applyAlignment="1">
      <alignment horizontal="center" vertical="center"/>
    </xf>
    <xf numFmtId="3" fontId="5" fillId="0" borderId="23" xfId="0" applyNumberFormat="1" applyFont="1" applyBorder="1" applyAlignment="1">
      <alignment horizontal="center" vertical="center"/>
    </xf>
    <xf numFmtId="3" fontId="5" fillId="7" borderId="38" xfId="0" applyNumberFormat="1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>
      <alignment horizontal="center" vertical="center"/>
    </xf>
    <xf numFmtId="3" fontId="5" fillId="5" borderId="88" xfId="0" applyNumberFormat="1" applyFont="1" applyFill="1" applyBorder="1" applyAlignment="1">
      <alignment horizontal="center" vertical="center"/>
    </xf>
    <xf numFmtId="3" fontId="5" fillId="5" borderId="91" xfId="0" applyNumberFormat="1" applyFont="1" applyFill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center" vertical="center"/>
      <protection hidden="1"/>
    </xf>
    <xf numFmtId="3" fontId="5" fillId="0" borderId="91" xfId="0" applyNumberFormat="1" applyFont="1" applyBorder="1" applyAlignment="1">
      <alignment horizontal="center" vertical="center"/>
    </xf>
    <xf numFmtId="3" fontId="5" fillId="0" borderId="90" xfId="0" applyNumberFormat="1" applyFont="1" applyBorder="1" applyAlignment="1">
      <alignment horizontal="center" vertical="center"/>
    </xf>
    <xf numFmtId="3" fontId="5" fillId="0" borderId="90" xfId="0" applyNumberFormat="1" applyFont="1" applyBorder="1" applyAlignment="1" applyProtection="1">
      <alignment horizontal="center" vertical="center"/>
      <protection hidden="1"/>
    </xf>
    <xf numFmtId="3" fontId="5" fillId="7" borderId="88" xfId="0" applyNumberFormat="1" applyFont="1" applyFill="1" applyBorder="1" applyAlignment="1" applyProtection="1">
      <alignment horizontal="center" vertical="center"/>
      <protection locked="0"/>
    </xf>
    <xf numFmtId="3" fontId="2" fillId="0" borderId="55" xfId="0" applyNumberFormat="1" applyFont="1" applyBorder="1" applyAlignment="1" applyProtection="1">
      <alignment horizontal="center" vertical="center"/>
      <protection hidden="1"/>
    </xf>
    <xf numFmtId="3" fontId="2" fillId="0" borderId="63" xfId="0" applyNumberFormat="1" applyFont="1" applyBorder="1" applyAlignment="1" applyProtection="1">
      <alignment horizontal="center" vertical="center"/>
      <protection hidden="1"/>
    </xf>
    <xf numFmtId="3" fontId="2" fillId="0" borderId="67" xfId="0" applyNumberFormat="1" applyFont="1" applyBorder="1" applyAlignment="1" applyProtection="1">
      <alignment horizontal="center" vertical="center"/>
      <protection hidden="1"/>
    </xf>
    <xf numFmtId="3" fontId="2" fillId="0" borderId="64" xfId="0" applyNumberFormat="1" applyFont="1" applyBorder="1" applyAlignment="1" applyProtection="1">
      <alignment horizontal="center" vertical="center"/>
      <protection hidden="1"/>
    </xf>
    <xf numFmtId="3" fontId="2" fillId="0" borderId="43" xfId="0" applyNumberFormat="1" applyFont="1" applyBorder="1" applyAlignment="1" applyProtection="1">
      <alignment horizontal="center" vertical="center"/>
      <protection hidden="1"/>
    </xf>
    <xf numFmtId="3" fontId="5" fillId="8" borderId="16" xfId="0" applyNumberFormat="1" applyFont="1" applyFill="1" applyBorder="1" applyAlignment="1" applyProtection="1">
      <alignment horizontal="center" vertical="center"/>
      <protection hidden="1"/>
    </xf>
    <xf numFmtId="3" fontId="5" fillId="8" borderId="54" xfId="0" applyNumberFormat="1" applyFont="1" applyFill="1" applyBorder="1" applyAlignment="1" applyProtection="1">
      <alignment horizontal="center" vertical="center"/>
      <protection locked="0"/>
    </xf>
    <xf numFmtId="3" fontId="5" fillId="8" borderId="33" xfId="0" applyNumberFormat="1" applyFont="1" applyFill="1" applyBorder="1" applyAlignment="1" applyProtection="1">
      <alignment horizontal="center" vertical="center"/>
      <protection hidden="1"/>
    </xf>
    <xf numFmtId="3" fontId="5" fillId="8" borderId="60" xfId="0" applyNumberFormat="1" applyFont="1" applyFill="1" applyBorder="1" applyAlignment="1" applyProtection="1">
      <alignment horizontal="center" vertical="center"/>
      <protection hidden="1"/>
    </xf>
    <xf numFmtId="3" fontId="5" fillId="8" borderId="54" xfId="0" applyNumberFormat="1" applyFont="1" applyFill="1" applyBorder="1" applyAlignment="1" applyProtection="1">
      <alignment horizontal="center" vertical="center"/>
      <protection hidden="1"/>
    </xf>
    <xf numFmtId="3" fontId="5" fillId="5" borderId="54" xfId="0" applyNumberFormat="1" applyFont="1" applyFill="1" applyBorder="1" applyAlignment="1" applyProtection="1">
      <alignment horizontal="center" vertical="center"/>
      <protection hidden="1"/>
    </xf>
    <xf numFmtId="3" fontId="5" fillId="5" borderId="16" xfId="0" applyNumberFormat="1" applyFont="1" applyFill="1" applyBorder="1" applyAlignment="1" applyProtection="1">
      <alignment horizontal="center" vertical="center"/>
      <protection hidden="1"/>
    </xf>
    <xf numFmtId="3" fontId="5" fillId="5" borderId="23" xfId="0" applyNumberFormat="1" applyFont="1" applyFill="1" applyBorder="1" applyAlignment="1" applyProtection="1">
      <alignment horizontal="center" vertical="center"/>
      <protection hidden="1"/>
    </xf>
    <xf numFmtId="3" fontId="5" fillId="5" borderId="10" xfId="0" applyNumberFormat="1" applyFont="1" applyFill="1" applyBorder="1" applyAlignment="1">
      <alignment horizontal="center" vertical="center"/>
    </xf>
    <xf numFmtId="3" fontId="5" fillId="5" borderId="20" xfId="0" applyNumberFormat="1" applyFont="1" applyFill="1" applyBorder="1" applyAlignment="1">
      <alignment horizontal="center" vertical="center"/>
    </xf>
    <xf numFmtId="3" fontId="5" fillId="5" borderId="10" xfId="0" applyNumberFormat="1" applyFont="1" applyFill="1" applyBorder="1" applyAlignment="1" applyProtection="1">
      <alignment horizontal="center" vertical="center"/>
      <protection hidden="1"/>
    </xf>
    <xf numFmtId="3" fontId="5" fillId="5" borderId="35" xfId="0" applyNumberFormat="1" applyFont="1" applyFill="1" applyBorder="1" applyAlignment="1" applyProtection="1">
      <alignment horizontal="center" vertical="center"/>
      <protection hidden="1"/>
    </xf>
    <xf numFmtId="3" fontId="5" fillId="8" borderId="10" xfId="0" applyNumberFormat="1" applyFont="1" applyFill="1" applyBorder="1" applyAlignment="1" applyProtection="1">
      <alignment horizontal="center" vertical="center"/>
      <protection hidden="1"/>
    </xf>
    <xf numFmtId="3" fontId="5" fillId="0" borderId="38" xfId="0" applyNumberFormat="1" applyFont="1" applyBorder="1" applyAlignment="1">
      <alignment horizontal="center" vertical="center"/>
    </xf>
    <xf numFmtId="3" fontId="5" fillId="5" borderId="92" xfId="0" applyNumberFormat="1" applyFont="1" applyFill="1" applyBorder="1" applyAlignment="1">
      <alignment horizontal="center" vertical="center"/>
    </xf>
    <xf numFmtId="3" fontId="5" fillId="5" borderId="90" xfId="0" applyNumberFormat="1" applyFont="1" applyFill="1" applyBorder="1" applyAlignment="1">
      <alignment horizontal="center" vertical="center"/>
    </xf>
    <xf numFmtId="3" fontId="5" fillId="5" borderId="91" xfId="0" applyNumberFormat="1" applyFont="1" applyFill="1" applyBorder="1" applyAlignment="1" applyProtection="1">
      <alignment horizontal="center" vertical="center"/>
      <protection hidden="1"/>
    </xf>
    <xf numFmtId="3" fontId="5" fillId="5" borderId="89" xfId="0" applyNumberFormat="1" applyFont="1" applyFill="1" applyBorder="1" applyAlignment="1" applyProtection="1">
      <alignment horizontal="center" vertical="center"/>
      <protection hidden="1"/>
    </xf>
    <xf numFmtId="3" fontId="5" fillId="0" borderId="92" xfId="0" applyNumberFormat="1" applyFont="1" applyBorder="1" applyAlignment="1">
      <alignment horizontal="center" vertical="center"/>
    </xf>
    <xf numFmtId="3" fontId="5" fillId="8" borderId="91" xfId="0" applyNumberFormat="1" applyFont="1" applyFill="1" applyBorder="1" applyAlignment="1" applyProtection="1">
      <alignment horizontal="center" vertical="center"/>
      <protection hidden="1"/>
    </xf>
    <xf numFmtId="3" fontId="2" fillId="8" borderId="55" xfId="0" applyNumberFormat="1" applyFont="1" applyFill="1" applyBorder="1" applyAlignment="1" applyProtection="1">
      <alignment horizontal="center" vertical="center"/>
      <protection hidden="1"/>
    </xf>
    <xf numFmtId="3" fontId="2" fillId="8" borderId="67" xfId="0" applyNumberFormat="1" applyFont="1" applyFill="1" applyBorder="1" applyAlignment="1" applyProtection="1">
      <alignment horizontal="center" vertical="center"/>
      <protection hidden="1"/>
    </xf>
    <xf numFmtId="3" fontId="2" fillId="8" borderId="63" xfId="0" applyNumberFormat="1" applyFont="1" applyFill="1" applyBorder="1" applyAlignment="1" applyProtection="1">
      <alignment horizontal="center" vertical="center"/>
      <protection hidden="1"/>
    </xf>
    <xf numFmtId="3" fontId="2" fillId="8" borderId="43" xfId="0" applyNumberFormat="1" applyFont="1" applyFill="1" applyBorder="1" applyAlignment="1" applyProtection="1">
      <alignment horizontal="center" vertical="center"/>
      <protection hidden="1"/>
    </xf>
    <xf numFmtId="3" fontId="2" fillId="5" borderId="3" xfId="0" applyNumberFormat="1" applyFont="1" applyFill="1" applyBorder="1" applyAlignment="1">
      <alignment horizontal="center" vertical="center"/>
    </xf>
    <xf numFmtId="3" fontId="2" fillId="5" borderId="48" xfId="0" applyNumberFormat="1" applyFont="1" applyFill="1" applyBorder="1" applyAlignment="1">
      <alignment horizontal="center" vertical="center"/>
    </xf>
    <xf numFmtId="3" fontId="2" fillId="7" borderId="5" xfId="0" applyNumberFormat="1" applyFont="1" applyFill="1" applyBorder="1" applyAlignment="1" applyProtection="1">
      <alignment horizontal="center" vertical="center"/>
      <protection locked="0"/>
    </xf>
    <xf numFmtId="3" fontId="2" fillId="0" borderId="5" xfId="0" applyNumberFormat="1" applyFont="1" applyBorder="1" applyAlignment="1" applyProtection="1">
      <alignment horizontal="center" vertical="center"/>
      <protection hidden="1"/>
    </xf>
    <xf numFmtId="3" fontId="2" fillId="7" borderId="48" xfId="0" applyNumberFormat="1" applyFont="1" applyFill="1" applyBorder="1" applyAlignment="1" applyProtection="1">
      <alignment horizontal="center" vertical="center"/>
      <protection locked="0"/>
    </xf>
    <xf numFmtId="166" fontId="10" fillId="7" borderId="35" xfId="0" applyNumberFormat="1" applyFont="1" applyFill="1" applyBorder="1" applyAlignment="1" applyProtection="1">
      <alignment horizontal="center" vertical="center"/>
      <protection locked="0"/>
    </xf>
    <xf numFmtId="164" fontId="5" fillId="7" borderId="23" xfId="0" applyNumberFormat="1" applyFont="1" applyFill="1" applyBorder="1" applyAlignment="1" applyProtection="1">
      <alignment horizontal="center" vertical="center"/>
      <protection locked="0"/>
    </xf>
    <xf numFmtId="3" fontId="5" fillId="7" borderId="61" xfId="0" applyNumberFormat="1" applyFont="1" applyFill="1" applyBorder="1" applyAlignment="1" applyProtection="1">
      <alignment horizontal="center" vertical="center"/>
      <protection locked="0"/>
    </xf>
    <xf numFmtId="164" fontId="5" fillId="7" borderId="25" xfId="0" applyNumberFormat="1" applyFont="1" applyFill="1" applyBorder="1" applyAlignment="1" applyProtection="1">
      <alignment horizontal="center" vertical="center"/>
      <protection locked="0"/>
    </xf>
    <xf numFmtId="3" fontId="5" fillId="7" borderId="36" xfId="0" applyNumberFormat="1" applyFont="1" applyFill="1" applyBorder="1" applyAlignment="1" applyProtection="1">
      <alignment horizontal="center" vertical="center"/>
      <protection locked="0"/>
    </xf>
    <xf numFmtId="164" fontId="5" fillId="7" borderId="57" xfId="0" applyNumberFormat="1" applyFont="1" applyFill="1" applyBorder="1" applyAlignment="1" applyProtection="1">
      <alignment horizontal="center" vertical="center"/>
      <protection locked="0"/>
    </xf>
    <xf numFmtId="164" fontId="5" fillId="7" borderId="20" xfId="0" applyNumberFormat="1" applyFont="1" applyFill="1" applyBorder="1" applyAlignment="1" applyProtection="1">
      <alignment horizontal="center" vertical="center"/>
      <protection locked="0"/>
    </xf>
    <xf numFmtId="164" fontId="5" fillId="7" borderId="90" xfId="0" applyNumberFormat="1" applyFont="1" applyFill="1" applyBorder="1" applyAlignment="1" applyProtection="1">
      <alignment horizontal="center" vertical="center"/>
      <protection locked="0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0" fontId="3" fillId="0" borderId="28" xfId="0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164" fontId="10" fillId="0" borderId="35" xfId="2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35" xfId="2" applyNumberFormat="1" applyFont="1" applyBorder="1" applyAlignment="1" applyProtection="1">
      <alignment horizontal="center" vertical="center"/>
      <protection hidden="1"/>
    </xf>
    <xf numFmtId="4" fontId="10" fillId="0" borderId="17" xfId="0" applyNumberFormat="1" applyFont="1" applyBorder="1" applyAlignment="1" applyProtection="1">
      <alignment horizontal="center"/>
      <protection hidden="1"/>
    </xf>
    <xf numFmtId="4" fontId="10" fillId="0" borderId="35" xfId="0" applyNumberFormat="1" applyFont="1" applyBorder="1" applyAlignment="1" applyProtection="1">
      <alignment horizont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0" fillId="0" borderId="17" xfId="0" applyNumberFormat="1" applyFont="1" applyBorder="1" applyAlignment="1" applyProtection="1">
      <alignment horizontal="center" vertical="center"/>
      <protection hidden="1"/>
    </xf>
    <xf numFmtId="4" fontId="10" fillId="0" borderId="35" xfId="0" applyNumberFormat="1" applyFont="1" applyBorder="1" applyAlignment="1" applyProtection="1">
      <alignment horizontal="center" vertical="center"/>
      <protection hidden="1"/>
    </xf>
    <xf numFmtId="4" fontId="10" fillId="5" borderId="17" xfId="0" applyNumberFormat="1" applyFont="1" applyFill="1" applyBorder="1" applyAlignment="1" applyProtection="1">
      <alignment horizontal="center"/>
      <protection hidden="1"/>
    </xf>
    <xf numFmtId="0" fontId="10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0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3" fontId="10" fillId="0" borderId="35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0" borderId="19" xfId="0" applyNumberFormat="1" applyFont="1" applyBorder="1" applyAlignment="1" applyProtection="1">
      <alignment horizontal="center" vertical="center"/>
      <protection hidden="1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1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3" fillId="2" borderId="0" xfId="0" applyNumberFormat="1" applyFont="1" applyFill="1" applyAlignment="1">
      <alignment horizontal="center" vertical="center"/>
    </xf>
    <xf numFmtId="3" fontId="3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5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3" fillId="2" borderId="0" xfId="0" applyNumberFormat="1" applyFont="1" applyFill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5" borderId="25" xfId="0" applyFont="1" applyFill="1" applyBorder="1" applyAlignment="1" applyProtection="1">
      <alignment horizontal="center" vertical="center"/>
      <protection hidden="1"/>
    </xf>
    <xf numFmtId="0" fontId="4" fillId="0" borderId="12" xfId="0" applyFont="1" applyBorder="1" applyAlignment="1">
      <alignment horizontal="left" vertical="center" indent="1"/>
    </xf>
    <xf numFmtId="0" fontId="4" fillId="0" borderId="12" xfId="0" applyFont="1" applyBorder="1" applyAlignment="1">
      <alignment horizontal="center" vertical="center"/>
    </xf>
    <xf numFmtId="3" fontId="3" fillId="0" borderId="0" xfId="0" applyNumberFormat="1" applyFont="1" applyAlignment="1">
      <alignment horizontal="left" vertical="center"/>
    </xf>
    <xf numFmtId="14" fontId="3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2" fillId="7" borderId="5" xfId="2" applyNumberFormat="1" applyFont="1" applyFill="1" applyBorder="1" applyAlignment="1" applyProtection="1">
      <alignment horizontal="center" vertical="center"/>
      <protection locked="0"/>
    </xf>
    <xf numFmtId="14" fontId="5" fillId="0" borderId="0" xfId="0" applyNumberFormat="1" applyFont="1" applyAlignment="1">
      <alignment horizontal="left" vertical="center"/>
    </xf>
    <xf numFmtId="3" fontId="10" fillId="0" borderId="17" xfId="0" applyNumberFormat="1" applyFont="1" applyBorder="1" applyAlignment="1" applyProtection="1">
      <alignment horizontal="right" vertical="center"/>
      <protection hidden="1"/>
    </xf>
    <xf numFmtId="3" fontId="10" fillId="0" borderId="19" xfId="0" applyNumberFormat="1" applyFont="1" applyBorder="1" applyAlignment="1" applyProtection="1">
      <alignment horizontal="right" vertical="center"/>
      <protection hidden="1"/>
    </xf>
    <xf numFmtId="3" fontId="10" fillId="7" borderId="17" xfId="0" applyNumberFormat="1" applyFont="1" applyFill="1" applyBorder="1" applyAlignment="1" applyProtection="1">
      <alignment horizontal="center"/>
      <protection locked="0"/>
    </xf>
    <xf numFmtId="164" fontId="10" fillId="7" borderId="17" xfId="0" applyNumberFormat="1" applyFont="1" applyFill="1" applyBorder="1" applyAlignment="1" applyProtection="1">
      <alignment horizontal="center"/>
      <protection locked="0"/>
    </xf>
    <xf numFmtId="3" fontId="4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0" fillId="7" borderId="23" xfId="0" applyNumberFormat="1" applyFont="1" applyFill="1" applyBorder="1" applyAlignment="1" applyProtection="1">
      <alignment horizontal="center" vertical="center"/>
      <protection locked="0"/>
    </xf>
    <xf numFmtId="3" fontId="10" fillId="7" borderId="32" xfId="0" applyNumberFormat="1" applyFont="1" applyFill="1" applyBorder="1" applyAlignment="1" applyProtection="1">
      <alignment horizontal="center"/>
      <protection locked="0"/>
    </xf>
    <xf numFmtId="3" fontId="10" fillId="7" borderId="23" xfId="0" applyNumberFormat="1" applyFont="1" applyFill="1" applyBorder="1" applyAlignment="1" applyProtection="1">
      <alignment horizontal="center"/>
      <protection locked="0"/>
    </xf>
    <xf numFmtId="0" fontId="10" fillId="0" borderId="19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3" fontId="3" fillId="7" borderId="17" xfId="0" applyNumberFormat="1" applyFont="1" applyFill="1" applyBorder="1" applyAlignment="1" applyProtection="1">
      <alignment horizontal="center" vertical="center"/>
      <protection locked="0"/>
    </xf>
    <xf numFmtId="167" fontId="3" fillId="0" borderId="17" xfId="0" applyNumberFormat="1" applyFont="1" applyBorder="1" applyAlignment="1">
      <alignment horizontal="center" vertical="center"/>
    </xf>
    <xf numFmtId="3" fontId="2" fillId="0" borderId="0" xfId="0" applyNumberFormat="1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48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5" fillId="0" borderId="0" xfId="0" applyNumberFormat="1" applyFont="1" applyAlignment="1" applyProtection="1">
      <alignment horizontal="center" vertical="center"/>
      <protection hidden="1"/>
    </xf>
    <xf numFmtId="167" fontId="5" fillId="0" borderId="0" xfId="0" applyNumberFormat="1" applyFont="1" applyProtection="1"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left"/>
    </xf>
    <xf numFmtId="3" fontId="10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>
      <alignment horizontal="center" vertical="center"/>
    </xf>
    <xf numFmtId="3" fontId="10" fillId="0" borderId="33" xfId="0" applyNumberFormat="1" applyFont="1" applyBorder="1" applyAlignment="1">
      <alignment horizontal="center" vertical="center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9" fillId="5" borderId="36" xfId="0" applyNumberFormat="1" applyFont="1" applyFill="1" applyBorder="1" applyAlignment="1" applyProtection="1">
      <alignment horizontal="center" vertical="center"/>
      <protection hidden="1"/>
    </xf>
    <xf numFmtId="3" fontId="9" fillId="0" borderId="36" xfId="0" applyNumberFormat="1" applyFont="1" applyBorder="1" applyAlignment="1" applyProtection="1">
      <alignment horizontal="center" vertical="center"/>
      <protection hidden="1"/>
    </xf>
    <xf numFmtId="3" fontId="9" fillId="0" borderId="37" xfId="0" applyNumberFormat="1" applyFont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4" fillId="0" borderId="2" xfId="0" applyNumberFormat="1" applyFont="1" applyBorder="1" applyAlignment="1" applyProtection="1">
      <alignment horizontal="center" vertical="center"/>
      <protection hidden="1"/>
    </xf>
    <xf numFmtId="3" fontId="4" fillId="0" borderId="56" xfId="0" applyNumberFormat="1" applyFont="1" applyBorder="1" applyAlignment="1" applyProtection="1">
      <alignment horizontal="center" vertical="center"/>
      <protection hidden="1"/>
    </xf>
    <xf numFmtId="3" fontId="4" fillId="0" borderId="29" xfId="0" applyNumberFormat="1" applyFont="1" applyBorder="1" applyAlignment="1" applyProtection="1">
      <alignment horizontal="center" vertical="center"/>
      <protection hidden="1"/>
    </xf>
    <xf numFmtId="3" fontId="4" fillId="0" borderId="30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9" fillId="0" borderId="63" xfId="0" applyNumberFormat="1" applyFont="1" applyBorder="1" applyAlignment="1" applyProtection="1">
      <alignment horizontal="center" vertical="center"/>
      <protection hidden="1"/>
    </xf>
    <xf numFmtId="3" fontId="9" fillId="0" borderId="67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>
      <alignment horizontal="center" vertical="center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4" fontId="5" fillId="0" borderId="17" xfId="0" applyNumberFormat="1" applyFont="1" applyBorder="1" applyAlignment="1" applyProtection="1">
      <alignment horizontal="center" vertical="center"/>
      <protection hidden="1"/>
    </xf>
    <xf numFmtId="4" fontId="5" fillId="7" borderId="17" xfId="0" applyNumberFormat="1" applyFont="1" applyFill="1" applyBorder="1" applyAlignment="1" applyProtection="1">
      <alignment horizontal="center" vertical="center"/>
      <protection locked="0"/>
    </xf>
    <xf numFmtId="164" fontId="5" fillId="0" borderId="17" xfId="0" applyNumberFormat="1" applyFont="1" applyBorder="1" applyAlignment="1" applyProtection="1">
      <alignment horizontal="center" vertical="center"/>
      <protection hidden="1"/>
    </xf>
    <xf numFmtId="164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0" borderId="36" xfId="0" applyNumberFormat="1" applyFont="1" applyBorder="1" applyAlignment="1" applyProtection="1">
      <alignment horizontal="center" vertical="center"/>
      <protection hidden="1"/>
    </xf>
    <xf numFmtId="4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/>
      <protection hidden="1"/>
    </xf>
    <xf numFmtId="3" fontId="5" fillId="0" borderId="23" xfId="0" applyNumberFormat="1" applyFont="1" applyBorder="1" applyAlignment="1" applyProtection="1">
      <alignment horizontal="center"/>
      <protection hidden="1"/>
    </xf>
    <xf numFmtId="3" fontId="9" fillId="0" borderId="17" xfId="0" applyNumberFormat="1" applyFont="1" applyBorder="1" applyAlignment="1" applyProtection="1">
      <alignment horizontal="center" vertical="center"/>
      <protection hidden="1"/>
    </xf>
    <xf numFmtId="3" fontId="9" fillId="0" borderId="17" xfId="0" applyNumberFormat="1" applyFont="1" applyBorder="1" applyAlignment="1" applyProtection="1">
      <alignment horizontal="center"/>
      <protection hidden="1"/>
    </xf>
    <xf numFmtId="164" fontId="9" fillId="0" borderId="17" xfId="2" applyNumberFormat="1" applyFont="1" applyBorder="1" applyAlignment="1" applyProtection="1">
      <alignment horizontal="center" vertical="center"/>
      <protection hidden="1"/>
    </xf>
    <xf numFmtId="164" fontId="9" fillId="0" borderId="17" xfId="2" applyNumberFormat="1" applyFont="1" applyBorder="1" applyAlignment="1" applyProtection="1">
      <alignment horizontal="center"/>
      <protection hidden="1"/>
    </xf>
    <xf numFmtId="3" fontId="9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3" fontId="10" fillId="0" borderId="32" xfId="0" applyNumberFormat="1" applyFont="1" applyBorder="1" applyAlignment="1" applyProtection="1">
      <alignment horizontal="center"/>
      <protection hidden="1"/>
    </xf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0" fillId="0" borderId="17" xfId="0" applyNumberFormat="1" applyFont="1" applyBorder="1" applyAlignment="1" applyProtection="1">
      <alignment horizontal="center"/>
      <protection hidden="1"/>
    </xf>
    <xf numFmtId="1" fontId="3" fillId="0" borderId="0" xfId="0" applyNumberFormat="1" applyFont="1" applyAlignment="1" applyProtection="1">
      <alignment vertical="center"/>
      <protection hidden="1"/>
    </xf>
    <xf numFmtId="14" fontId="3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4" fillId="0" borderId="126" xfId="0" applyFont="1" applyBorder="1" applyAlignment="1" applyProtection="1">
      <alignment horizontal="center" vertical="center"/>
      <protection hidden="1"/>
    </xf>
    <xf numFmtId="0" fontId="51" fillId="0" borderId="128" xfId="0" applyFont="1" applyBorder="1" applyAlignment="1" applyProtection="1">
      <alignment horizontal="center" vertical="center"/>
      <protection hidden="1"/>
    </xf>
    <xf numFmtId="3" fontId="52" fillId="0" borderId="125" xfId="0" applyNumberFormat="1" applyFont="1" applyBorder="1" applyAlignment="1" applyProtection="1">
      <alignment horizontal="center" vertical="center"/>
      <protection hidden="1"/>
    </xf>
    <xf numFmtId="3" fontId="52" fillId="0" borderId="128" xfId="0" applyNumberFormat="1" applyFont="1" applyBorder="1" applyAlignment="1" applyProtection="1">
      <alignment horizontal="center" vertical="center"/>
      <protection hidden="1"/>
    </xf>
    <xf numFmtId="0" fontId="26" fillId="0" borderId="126" xfId="0" applyFont="1" applyBorder="1" applyAlignment="1" applyProtection="1">
      <alignment horizontal="center" vertical="center"/>
      <protection hidden="1"/>
    </xf>
    <xf numFmtId="3" fontId="53" fillId="0" borderId="125" xfId="0" applyNumberFormat="1" applyFont="1" applyBorder="1" applyAlignment="1" applyProtection="1">
      <alignment horizontal="center" vertical="center"/>
      <protection hidden="1"/>
    </xf>
    <xf numFmtId="0" fontId="54" fillId="0" borderId="126" xfId="0" applyFont="1" applyBorder="1" applyAlignment="1" applyProtection="1">
      <alignment horizontal="center" vertical="center"/>
      <protection hidden="1"/>
    </xf>
    <xf numFmtId="3" fontId="41" fillId="0" borderId="125" xfId="0" applyNumberFormat="1" applyFont="1" applyBorder="1" applyAlignment="1" applyProtection="1">
      <alignment horizontal="center" vertical="center"/>
      <protection hidden="1"/>
    </xf>
    <xf numFmtId="3" fontId="41" fillId="5" borderId="125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18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left" vertical="center"/>
      <protection hidden="1"/>
    </xf>
    <xf numFmtId="0" fontId="23" fillId="2" borderId="0" xfId="0" applyFont="1" applyFill="1" applyAlignment="1" applyProtection="1">
      <alignment horizontal="center"/>
      <protection hidden="1"/>
    </xf>
    <xf numFmtId="0" fontId="26" fillId="0" borderId="17" xfId="0" applyFont="1" applyBorder="1" applyAlignment="1" applyProtection="1">
      <alignment horizontal="center" vertical="center"/>
      <protection hidden="1"/>
    </xf>
    <xf numFmtId="0" fontId="26" fillId="0" borderId="20" xfId="0" applyFont="1" applyBorder="1" applyAlignment="1" applyProtection="1">
      <alignment horizontal="center" vertical="center"/>
      <protection hidden="1"/>
    </xf>
    <xf numFmtId="0" fontId="26" fillId="0" borderId="82" xfId="0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10" fillId="0" borderId="25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102" xfId="0" applyFont="1" applyBorder="1" applyAlignment="1" applyProtection="1">
      <alignment horizontal="center" vertical="center"/>
      <protection hidden="1"/>
    </xf>
    <xf numFmtId="0" fontId="5" fillId="2" borderId="0" xfId="0" applyFont="1" applyFill="1" applyProtection="1"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left"/>
      <protection hidden="1"/>
    </xf>
    <xf numFmtId="3" fontId="3" fillId="5" borderId="62" xfId="0" applyNumberFormat="1" applyFont="1" applyFill="1" applyBorder="1" applyAlignment="1" applyProtection="1">
      <alignment vertical="center"/>
      <protection hidden="1"/>
    </xf>
    <xf numFmtId="167" fontId="3" fillId="0" borderId="18" xfId="0" applyNumberFormat="1" applyFont="1" applyBorder="1" applyAlignment="1" applyProtection="1">
      <alignment vertical="center"/>
      <protection hidden="1"/>
    </xf>
    <xf numFmtId="167" fontId="3" fillId="0" borderId="25" xfId="0" applyNumberFormat="1" applyFont="1" applyBorder="1" applyAlignment="1" applyProtection="1">
      <alignment horizontal="center"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14" fontId="2" fillId="0" borderId="0" xfId="0" applyNumberFormat="1" applyFont="1" applyAlignment="1">
      <alignment horizontal="left" vertical="center"/>
    </xf>
    <xf numFmtId="0" fontId="4" fillId="0" borderId="0" xfId="0" applyFont="1" applyAlignment="1" applyProtection="1">
      <alignment horizontal="center" vertical="top"/>
      <protection hidden="1"/>
    </xf>
    <xf numFmtId="0" fontId="5" fillId="7" borderId="0" xfId="0" applyFont="1" applyFill="1" applyAlignment="1" applyProtection="1">
      <alignment vertical="center"/>
      <protection locked="0"/>
    </xf>
    <xf numFmtId="167" fontId="5" fillId="0" borderId="129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32" xfId="0" applyFont="1" applyBorder="1" applyAlignment="1" applyProtection="1">
      <alignment horizontal="center" vertical="center"/>
      <protection hidden="1"/>
    </xf>
    <xf numFmtId="167" fontId="5" fillId="0" borderId="132" xfId="0" applyNumberFormat="1" applyFont="1" applyBorder="1" applyAlignment="1" applyProtection="1">
      <alignment horizontal="center" vertical="center"/>
      <protection hidden="1"/>
    </xf>
    <xf numFmtId="0" fontId="5" fillId="0" borderId="134" xfId="0" applyFont="1" applyBorder="1" applyAlignment="1" applyProtection="1">
      <alignment horizontal="center" vertical="center"/>
      <protection hidden="1"/>
    </xf>
    <xf numFmtId="167" fontId="5" fillId="0" borderId="134" xfId="0" applyNumberFormat="1" applyFont="1" applyBorder="1" applyAlignment="1" applyProtection="1">
      <alignment horizontal="center" vertical="center"/>
      <protection hidden="1"/>
    </xf>
    <xf numFmtId="0" fontId="5" fillId="0" borderId="137" xfId="0" applyFont="1" applyBorder="1" applyAlignment="1" applyProtection="1">
      <alignment vertical="center"/>
      <protection hidden="1"/>
    </xf>
    <xf numFmtId="0" fontId="5" fillId="0" borderId="133" xfId="0" applyFont="1" applyBorder="1" applyAlignment="1" applyProtection="1">
      <alignment horizontal="left" vertical="center"/>
      <protection hidden="1"/>
    </xf>
    <xf numFmtId="0" fontId="5" fillId="0" borderId="138" xfId="0" applyFont="1" applyBorder="1" applyAlignment="1" applyProtection="1">
      <alignment vertical="center"/>
      <protection hidden="1"/>
    </xf>
    <xf numFmtId="0" fontId="5" fillId="0" borderId="138" xfId="0" applyFont="1" applyBorder="1" applyAlignment="1" applyProtection="1">
      <alignment horizontal="left" vertical="center"/>
      <protection hidden="1"/>
    </xf>
    <xf numFmtId="0" fontId="5" fillId="0" borderId="139" xfId="0" applyFont="1" applyBorder="1" applyAlignment="1" applyProtection="1">
      <alignment vertical="center"/>
      <protection hidden="1"/>
    </xf>
    <xf numFmtId="0" fontId="5" fillId="0" borderId="140" xfId="0" applyFont="1" applyBorder="1" applyAlignment="1" applyProtection="1">
      <alignment vertical="center"/>
      <protection hidden="1"/>
    </xf>
    <xf numFmtId="167" fontId="5" fillId="0" borderId="141" xfId="0" applyNumberFormat="1" applyFont="1" applyBorder="1" applyAlignment="1" applyProtection="1">
      <alignment horizontal="center" vertical="center"/>
      <protection hidden="1"/>
    </xf>
    <xf numFmtId="164" fontId="5" fillId="0" borderId="141" xfId="0" applyNumberFormat="1" applyFont="1" applyBorder="1" applyAlignment="1" applyProtection="1">
      <alignment horizontal="center" vertical="center"/>
      <protection hidden="1"/>
    </xf>
    <xf numFmtId="167" fontId="5" fillId="5" borderId="141" xfId="0" applyNumberFormat="1" applyFont="1" applyFill="1" applyBorder="1" applyAlignment="1" applyProtection="1">
      <alignment horizontal="center" vertical="center"/>
      <protection hidden="1"/>
    </xf>
    <xf numFmtId="1" fontId="2" fillId="0" borderId="141" xfId="0" applyNumberFormat="1" applyFont="1" applyBorder="1" applyAlignment="1" applyProtection="1">
      <alignment horizontal="center" vertical="center"/>
      <protection hidden="1"/>
    </xf>
    <xf numFmtId="166" fontId="5" fillId="0" borderId="141" xfId="0" applyNumberFormat="1" applyFont="1" applyBorder="1" applyAlignment="1" applyProtection="1">
      <alignment horizontal="center" vertical="center"/>
      <protection hidden="1"/>
    </xf>
    <xf numFmtId="3" fontId="2" fillId="0" borderId="141" xfId="0" applyNumberFormat="1" applyFont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0" borderId="145" xfId="0" applyFont="1" applyBorder="1" applyAlignment="1" applyProtection="1">
      <alignment vertical="center"/>
      <protection hidden="1"/>
    </xf>
    <xf numFmtId="0" fontId="5" fillId="0" borderId="146" xfId="0" applyFont="1" applyBorder="1" applyAlignment="1" applyProtection="1">
      <alignment vertical="center"/>
      <protection hidden="1"/>
    </xf>
    <xf numFmtId="0" fontId="2" fillId="0" borderId="146" xfId="0" applyFont="1" applyBorder="1" applyAlignment="1" applyProtection="1">
      <alignment vertical="center"/>
      <protection hidden="1"/>
    </xf>
    <xf numFmtId="0" fontId="2" fillId="0" borderId="146" xfId="0" applyFont="1" applyBorder="1" applyAlignment="1" applyProtection="1">
      <alignment horizontal="left" vertical="center"/>
      <protection hidden="1"/>
    </xf>
    <xf numFmtId="167" fontId="2" fillId="0" borderId="14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167" fontId="2" fillId="0" borderId="141" xfId="0" applyNumberFormat="1" applyFont="1" applyBorder="1" applyAlignment="1" applyProtection="1">
      <alignment horizontal="center"/>
      <protection hidden="1"/>
    </xf>
    <xf numFmtId="167" fontId="5" fillId="0" borderId="141" xfId="0" applyNumberFormat="1" applyFont="1" applyBorder="1" applyAlignment="1" applyProtection="1">
      <alignment horizontal="center"/>
      <protection hidden="1"/>
    </xf>
    <xf numFmtId="0" fontId="2" fillId="0" borderId="139" xfId="0" applyFont="1" applyBorder="1" applyAlignment="1" applyProtection="1">
      <alignment vertical="center"/>
      <protection hidden="1"/>
    </xf>
    <xf numFmtId="0" fontId="5" fillId="0" borderId="145" xfId="0" applyFont="1" applyBorder="1" applyAlignment="1" applyProtection="1">
      <alignment vertical="center"/>
      <protection hidden="1"/>
    </xf>
    <xf numFmtId="0" fontId="2" fillId="0" borderId="140" xfId="0" applyFont="1" applyBorder="1" applyAlignment="1" applyProtection="1">
      <alignment vertical="center"/>
      <protection hidden="1"/>
    </xf>
    <xf numFmtId="0" fontId="2" fillId="0" borderId="139" xfId="0" applyFont="1" applyBorder="1" applyAlignment="1" applyProtection="1">
      <alignment horizontal="left" vertical="center"/>
      <protection hidden="1"/>
    </xf>
    <xf numFmtId="0" fontId="2" fillId="0" borderId="145" xfId="0" applyFont="1" applyBorder="1" applyAlignment="1" applyProtection="1">
      <alignment horizontal="left" vertical="center"/>
      <protection hidden="1"/>
    </xf>
    <xf numFmtId="0" fontId="5" fillId="5" borderId="141" xfId="0" applyFont="1" applyFill="1" applyBorder="1" applyAlignment="1" applyProtection="1">
      <alignment horizontal="center"/>
      <protection hidden="1"/>
    </xf>
    <xf numFmtId="0" fontId="5" fillId="5" borderId="141" xfId="0" applyFont="1" applyFill="1" applyBorder="1" applyAlignment="1" applyProtection="1">
      <alignment horizontal="center" vertical="center"/>
      <protection hidden="1"/>
    </xf>
    <xf numFmtId="167" fontId="68" fillId="0" borderId="141" xfId="0" applyNumberFormat="1" applyFont="1" applyBorder="1" applyAlignment="1" applyProtection="1">
      <alignment horizontal="center" vertical="center"/>
      <protection hidden="1"/>
    </xf>
    <xf numFmtId="0" fontId="5" fillId="5" borderId="139" xfId="0" applyFont="1" applyFill="1" applyBorder="1" applyAlignment="1" applyProtection="1">
      <alignment vertical="center"/>
      <protection hidden="1"/>
    </xf>
    <xf numFmtId="0" fontId="5" fillId="5" borderId="145" xfId="0" applyFont="1" applyFill="1" applyBorder="1" applyAlignment="1" applyProtection="1">
      <alignment vertical="center"/>
      <protection hidden="1"/>
    </xf>
    <xf numFmtId="167" fontId="5" fillId="5" borderId="141" xfId="0" applyNumberFormat="1" applyFont="1" applyFill="1" applyBorder="1" applyAlignment="1" applyProtection="1">
      <alignment horizontal="center"/>
      <protection hidden="1"/>
    </xf>
    <xf numFmtId="0" fontId="5" fillId="0" borderId="139" xfId="0" applyFont="1" applyBorder="1" applyAlignment="1" applyProtection="1">
      <alignment horizontal="left" vertical="center"/>
      <protection hidden="1"/>
    </xf>
    <xf numFmtId="0" fontId="2" fillId="0" borderId="140" xfId="0" applyFont="1" applyBorder="1" applyAlignment="1" applyProtection="1">
      <alignment horizontal="left" vertical="center"/>
      <protection hidden="1"/>
    </xf>
    <xf numFmtId="0" fontId="2" fillId="0" borderId="140" xfId="0" applyFont="1" applyBorder="1" applyAlignment="1" applyProtection="1">
      <alignment horizontal="right" vertical="center"/>
      <protection hidden="1"/>
    </xf>
    <xf numFmtId="3" fontId="2" fillId="0" borderId="140" xfId="0" applyNumberFormat="1" applyFont="1" applyBorder="1" applyAlignment="1" applyProtection="1">
      <alignment vertical="center"/>
      <protection hidden="1"/>
    </xf>
    <xf numFmtId="0" fontId="2" fillId="0" borderId="0" xfId="0" applyFont="1" applyAlignment="1">
      <alignment horizontal="left" vertical="center" wrapText="1"/>
    </xf>
    <xf numFmtId="0" fontId="5" fillId="0" borderId="139" xfId="0" applyFont="1" applyBorder="1" applyAlignment="1">
      <alignment vertical="center"/>
    </xf>
    <xf numFmtId="0" fontId="0" fillId="0" borderId="139" xfId="0" applyBorder="1" applyAlignment="1">
      <alignment vertical="center"/>
    </xf>
    <xf numFmtId="0" fontId="5" fillId="0" borderId="140" xfId="0" applyFont="1" applyBorder="1" applyAlignment="1">
      <alignment vertical="center"/>
    </xf>
    <xf numFmtId="0" fontId="0" fillId="0" borderId="140" xfId="0" applyBorder="1" applyAlignment="1">
      <alignment vertical="center"/>
    </xf>
    <xf numFmtId="0" fontId="1" fillId="0" borderId="0" xfId="0" applyFont="1" applyAlignment="1" applyProtection="1">
      <alignment horizontal="center"/>
      <protection hidden="1"/>
    </xf>
    <xf numFmtId="4" fontId="2" fillId="0" borderId="141" xfId="0" applyNumberFormat="1" applyFont="1" applyBorder="1" applyAlignment="1" applyProtection="1">
      <alignment horizontal="center"/>
      <protection hidden="1"/>
    </xf>
    <xf numFmtId="0" fontId="2" fillId="0" borderId="139" xfId="0" applyFont="1" applyBorder="1" applyAlignment="1" applyProtection="1">
      <alignment horizontal="left"/>
      <protection hidden="1"/>
    </xf>
    <xf numFmtId="0" fontId="2" fillId="0" borderId="145" xfId="0" applyFont="1" applyBorder="1" applyAlignment="1" applyProtection="1">
      <alignment horizontal="left"/>
      <protection hidden="1"/>
    </xf>
    <xf numFmtId="0" fontId="2" fillId="0" borderId="140" xfId="0" applyFont="1" applyBorder="1" applyAlignment="1" applyProtection="1">
      <alignment horizontal="left"/>
      <protection hidden="1"/>
    </xf>
    <xf numFmtId="0" fontId="2" fillId="0" borderId="146" xfId="0" applyFont="1" applyBorder="1" applyAlignment="1" applyProtection="1">
      <alignment horizontal="left"/>
      <protection hidden="1"/>
    </xf>
    <xf numFmtId="0" fontId="5" fillId="0" borderId="145" xfId="0" applyFont="1" applyBorder="1" applyAlignment="1" applyProtection="1">
      <alignment horizontal="left"/>
      <protection hidden="1"/>
    </xf>
    <xf numFmtId="3" fontId="2" fillId="6" borderId="0" xfId="0" applyNumberFormat="1" applyFont="1" applyFill="1" applyAlignment="1" applyProtection="1">
      <alignment horizontal="center" vertical="center"/>
      <protection hidden="1"/>
    </xf>
    <xf numFmtId="1" fontId="5" fillId="0" borderId="141" xfId="0" applyNumberFormat="1" applyFont="1" applyBorder="1" applyAlignment="1" applyProtection="1">
      <alignment horizontal="center" vertical="center"/>
      <protection hidden="1"/>
    </xf>
    <xf numFmtId="0" fontId="5" fillId="0" borderId="141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5" fillId="0" borderId="140" xfId="0" applyFont="1" applyBorder="1" applyAlignment="1" applyProtection="1">
      <alignment horizontal="left" vertical="center"/>
      <protection hidden="1"/>
    </xf>
    <xf numFmtId="0" fontId="5" fillId="0" borderId="146" xfId="0" applyFont="1" applyBorder="1" applyAlignment="1" applyProtection="1">
      <alignment horizontal="left"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167" fontId="5" fillId="0" borderId="149" xfId="0" applyNumberFormat="1" applyFont="1" applyBorder="1" applyAlignment="1" applyProtection="1">
      <alignment horizontal="center"/>
      <protection hidden="1"/>
    </xf>
    <xf numFmtId="167" fontId="5" fillId="0" borderId="149" xfId="0" applyNumberFormat="1" applyFont="1" applyBorder="1" applyAlignment="1" applyProtection="1">
      <alignment horizontal="center" vertical="center"/>
      <protection hidden="1"/>
    </xf>
    <xf numFmtId="167" fontId="2" fillId="0" borderId="150" xfId="0" applyNumberFormat="1" applyFont="1" applyBorder="1" applyAlignment="1" applyProtection="1">
      <alignment horizontal="center"/>
      <protection hidden="1"/>
    </xf>
    <xf numFmtId="167" fontId="2" fillId="0" borderId="150" xfId="0" applyNumberFormat="1" applyFont="1" applyBorder="1" applyAlignment="1" applyProtection="1">
      <alignment horizontal="center" vertical="center"/>
      <protection hidden="1"/>
    </xf>
    <xf numFmtId="3" fontId="4" fillId="0" borderId="51" xfId="0" applyNumberFormat="1" applyFont="1" applyBorder="1" applyAlignment="1">
      <alignment horizontal="center" vertical="center"/>
    </xf>
    <xf numFmtId="167" fontId="4" fillId="0" borderId="52" xfId="0" applyNumberFormat="1" applyFont="1" applyBorder="1" applyAlignment="1">
      <alignment horizontal="center" vertical="center"/>
    </xf>
    <xf numFmtId="3" fontId="10" fillId="2" borderId="38" xfId="0" applyNumberFormat="1" applyFont="1" applyFill="1" applyBorder="1" applyAlignment="1">
      <alignment horizontal="center" vertical="center"/>
    </xf>
    <xf numFmtId="167" fontId="10" fillId="0" borderId="35" xfId="0" applyNumberFormat="1" applyFont="1" applyBorder="1" applyAlignment="1">
      <alignment horizontal="center" vertical="center"/>
    </xf>
    <xf numFmtId="167" fontId="5" fillId="3" borderId="35" xfId="0" applyNumberFormat="1" applyFont="1" applyFill="1" applyBorder="1" applyAlignment="1">
      <alignment horizontal="center" vertical="center"/>
    </xf>
    <xf numFmtId="167" fontId="5" fillId="7" borderId="38" xfId="0" applyNumberFormat="1" applyFont="1" applyFill="1" applyBorder="1" applyAlignment="1" applyProtection="1">
      <alignment horizontal="center" vertical="center"/>
      <protection locked="0"/>
    </xf>
    <xf numFmtId="3" fontId="10" fillId="0" borderId="38" xfId="0" applyNumberFormat="1" applyFont="1" applyBorder="1" applyAlignment="1">
      <alignment horizontal="center" vertical="center"/>
    </xf>
    <xf numFmtId="4" fontId="5" fillId="7" borderId="38" xfId="0" applyNumberFormat="1" applyFont="1" applyFill="1" applyBorder="1" applyAlignment="1" applyProtection="1">
      <alignment horizontal="center" vertical="center"/>
      <protection locked="0"/>
    </xf>
    <xf numFmtId="4" fontId="5" fillId="3" borderId="35" xfId="0" applyNumberFormat="1" applyFont="1" applyFill="1" applyBorder="1" applyAlignment="1">
      <alignment horizontal="center" vertical="center"/>
    </xf>
    <xf numFmtId="3" fontId="10" fillId="7" borderId="53" xfId="0" applyNumberFormat="1" applyFont="1" applyFill="1" applyBorder="1" applyAlignment="1" applyProtection="1">
      <alignment horizontal="center" vertical="center"/>
      <protection locked="0"/>
    </xf>
    <xf numFmtId="167" fontId="10" fillId="3" borderId="33" xfId="0" applyNumberFormat="1" applyFont="1" applyFill="1" applyBorder="1" applyAlignment="1">
      <alignment horizontal="center" vertical="center"/>
    </xf>
    <xf numFmtId="167" fontId="5" fillId="3" borderId="33" xfId="0" applyNumberFormat="1" applyFont="1" applyFill="1" applyBorder="1" applyAlignment="1">
      <alignment horizontal="center" vertical="center"/>
    </xf>
    <xf numFmtId="3" fontId="4" fillId="0" borderId="49" xfId="0" applyNumberFormat="1" applyFont="1" applyBorder="1" applyAlignment="1" applyProtection="1">
      <alignment horizontal="center" vertical="center"/>
      <protection hidden="1"/>
    </xf>
    <xf numFmtId="167" fontId="4" fillId="0" borderId="52" xfId="0" applyNumberFormat="1" applyFont="1" applyBorder="1" applyAlignment="1" applyProtection="1">
      <alignment horizontal="center" vertical="center"/>
      <protection hidden="1"/>
    </xf>
    <xf numFmtId="167" fontId="10" fillId="3" borderId="35" xfId="0" applyNumberFormat="1" applyFont="1" applyFill="1" applyBorder="1" applyAlignment="1">
      <alignment horizontal="center" vertical="center"/>
    </xf>
    <xf numFmtId="10" fontId="5" fillId="7" borderId="109" xfId="0" applyNumberFormat="1" applyFont="1" applyFill="1" applyBorder="1" applyAlignment="1" applyProtection="1">
      <alignment horizontal="center" vertical="center"/>
      <protection locked="0"/>
    </xf>
    <xf numFmtId="164" fontId="5" fillId="3" borderId="35" xfId="0" applyNumberFormat="1" applyFont="1" applyFill="1" applyBorder="1" applyAlignment="1">
      <alignment horizontal="center" vertical="center"/>
    </xf>
    <xf numFmtId="10" fontId="5" fillId="7" borderId="38" xfId="0" applyNumberFormat="1" applyFont="1" applyFill="1" applyBorder="1" applyAlignment="1" applyProtection="1">
      <alignment horizontal="center" vertical="center"/>
      <protection locked="0"/>
    </xf>
    <xf numFmtId="164" fontId="5" fillId="3" borderId="17" xfId="0" applyNumberFormat="1" applyFont="1" applyFill="1" applyBorder="1" applyAlignment="1">
      <alignment horizontal="center" vertical="center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167" fontId="5" fillId="3" borderId="35" xfId="0" applyNumberFormat="1" applyFont="1" applyFill="1" applyBorder="1" applyAlignment="1" applyProtection="1">
      <alignment horizontal="center" vertical="center"/>
      <protection hidden="1"/>
    </xf>
    <xf numFmtId="167" fontId="5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5" fillId="3" borderId="17" xfId="0" applyNumberFormat="1" applyFont="1" applyFill="1" applyBorder="1" applyAlignment="1">
      <alignment horizontal="center" vertical="center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167" fontId="10" fillId="3" borderId="35" xfId="0" applyNumberFormat="1" applyFont="1" applyFill="1" applyBorder="1" applyAlignment="1" applyProtection="1">
      <alignment horizontal="center" vertical="center"/>
      <protection hidden="1"/>
    </xf>
    <xf numFmtId="167" fontId="10" fillId="3" borderId="17" xfId="0" applyNumberFormat="1" applyFont="1" applyFill="1" applyBorder="1" applyAlignment="1" applyProtection="1">
      <alignment horizontal="center" vertical="center"/>
      <protection hidden="1"/>
    </xf>
    <xf numFmtId="167" fontId="10" fillId="3" borderId="20" xfId="0" applyNumberFormat="1" applyFont="1" applyFill="1" applyBorder="1" applyAlignment="1" applyProtection="1">
      <alignment horizontal="center" vertical="center"/>
      <protection hidden="1"/>
    </xf>
    <xf numFmtId="167" fontId="10" fillId="3" borderId="20" xfId="0" applyNumberFormat="1" applyFont="1" applyFill="1" applyBorder="1" applyAlignment="1">
      <alignment horizontal="center" vertical="center"/>
    </xf>
    <xf numFmtId="3" fontId="10" fillId="7" borderId="38" xfId="0" applyNumberFormat="1" applyFont="1" applyFill="1" applyBorder="1" applyAlignment="1" applyProtection="1">
      <alignment horizontal="center" vertical="center"/>
      <protection locked="0"/>
    </xf>
    <xf numFmtId="3" fontId="5" fillId="0" borderId="39" xfId="0" applyNumberFormat="1" applyFont="1" applyBorder="1" applyAlignment="1">
      <alignment horizontal="center" vertical="center"/>
    </xf>
    <xf numFmtId="167" fontId="5" fillId="0" borderId="37" xfId="0" applyNumberFormat="1" applyFont="1" applyBorder="1" applyAlignment="1">
      <alignment horizontal="center" vertical="center"/>
    </xf>
    <xf numFmtId="3" fontId="10" fillId="0" borderId="51" xfId="0" applyNumberFormat="1" applyFont="1" applyBorder="1" applyAlignment="1">
      <alignment horizontal="center" vertical="center"/>
    </xf>
    <xf numFmtId="167" fontId="10" fillId="0" borderId="52" xfId="0" applyNumberFormat="1" applyFont="1" applyBorder="1" applyAlignment="1" applyProtection="1">
      <alignment horizontal="center" vertical="center"/>
      <protection hidden="1"/>
    </xf>
    <xf numFmtId="167" fontId="5" fillId="3" borderId="22" xfId="0" applyNumberFormat="1" applyFont="1" applyFill="1" applyBorder="1" applyAlignment="1" applyProtection="1">
      <alignment horizontal="center" vertical="center"/>
      <protection hidden="1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167" fontId="5" fillId="3" borderId="37" xfId="0" applyNumberFormat="1" applyFont="1" applyFill="1" applyBorder="1" applyAlignment="1" applyProtection="1">
      <alignment horizontal="center" vertical="center"/>
      <protection hidden="1"/>
    </xf>
    <xf numFmtId="167" fontId="10" fillId="0" borderId="70" xfId="0" applyNumberFormat="1" applyFont="1" applyBorder="1" applyAlignment="1" applyProtection="1">
      <alignment horizontal="center" vertical="center"/>
      <protection hidden="1"/>
    </xf>
    <xf numFmtId="3" fontId="10" fillId="7" borderId="3" xfId="0" applyNumberFormat="1" applyFont="1" applyFill="1" applyBorder="1" applyAlignment="1" applyProtection="1">
      <alignment horizontal="center" vertical="center"/>
      <protection locked="0"/>
    </xf>
    <xf numFmtId="167" fontId="10" fillId="0" borderId="30" xfId="0" applyNumberFormat="1" applyFont="1" applyBorder="1" applyAlignment="1" applyProtection="1">
      <alignment horizontal="center" vertical="center"/>
      <protection hidden="1"/>
    </xf>
    <xf numFmtId="3" fontId="10" fillId="7" borderId="49" xfId="0" applyNumberFormat="1" applyFont="1" applyFill="1" applyBorder="1" applyAlignment="1" applyProtection="1">
      <alignment horizontal="center" vertical="center"/>
      <protection locked="0"/>
    </xf>
    <xf numFmtId="167" fontId="10" fillId="0" borderId="5" xfId="0" applyNumberFormat="1" applyFont="1" applyBorder="1" applyAlignment="1" applyProtection="1">
      <alignment horizontal="center" vertical="center"/>
      <protection hidden="1"/>
    </xf>
    <xf numFmtId="3" fontId="10" fillId="0" borderId="54" xfId="0" applyNumberFormat="1" applyFont="1" applyBorder="1" applyAlignment="1">
      <alignment horizontal="center" vertical="center"/>
    </xf>
    <xf numFmtId="167" fontId="10" fillId="0" borderId="33" xfId="0" applyNumberFormat="1" applyFont="1" applyBorder="1" applyAlignment="1" applyProtection="1">
      <alignment horizontal="center" vertical="center"/>
      <protection hidden="1"/>
    </xf>
    <xf numFmtId="167" fontId="5" fillId="3" borderId="58" xfId="0" applyNumberFormat="1" applyFont="1" applyFill="1" applyBorder="1" applyAlignment="1" applyProtection="1">
      <alignment horizontal="center" vertical="center"/>
      <protection hidden="1"/>
    </xf>
    <xf numFmtId="3" fontId="10" fillId="0" borderId="51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9" fillId="7" borderId="17" xfId="0" applyNumberFormat="1" applyFont="1" applyFill="1" applyBorder="1" applyAlignment="1" applyProtection="1">
      <alignment horizontal="center" vertical="center"/>
      <protection locked="0"/>
    </xf>
    <xf numFmtId="3" fontId="9" fillId="0" borderId="20" xfId="0" applyNumberFormat="1" applyFont="1" applyBorder="1" applyAlignment="1" applyProtection="1">
      <alignment horizontal="center" vertical="center"/>
      <protection hidden="1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0" fillId="7" borderId="20" xfId="0" applyNumberFormat="1" applyFont="1" applyFill="1" applyBorder="1" applyAlignment="1" applyProtection="1">
      <alignment horizontal="center" vertical="center"/>
      <protection locked="0"/>
    </xf>
    <xf numFmtId="3" fontId="9" fillId="0" borderId="61" xfId="0" applyNumberFormat="1" applyFont="1" applyBorder="1" applyAlignment="1" applyProtection="1">
      <alignment horizontal="center" vertical="center"/>
      <protection hidden="1"/>
    </xf>
    <xf numFmtId="3" fontId="9" fillId="0" borderId="25" xfId="0" applyNumberFormat="1" applyFont="1" applyBorder="1" applyAlignment="1" applyProtection="1">
      <alignment horizontal="center" vertical="center"/>
      <protection hidden="1"/>
    </xf>
    <xf numFmtId="3" fontId="9" fillId="0" borderId="58" xfId="0" applyNumberFormat="1" applyFont="1" applyBorder="1" applyAlignment="1" applyProtection="1">
      <alignment horizontal="center" vertical="center"/>
      <protection hidden="1"/>
    </xf>
    <xf numFmtId="3" fontId="9" fillId="7" borderId="32" xfId="0" applyNumberFormat="1" applyFont="1" applyFill="1" applyBorder="1" applyAlignment="1" applyProtection="1">
      <alignment horizontal="center" vertical="center"/>
      <protection locked="0"/>
    </xf>
    <xf numFmtId="3" fontId="10" fillId="5" borderId="19" xfId="0" applyNumberFormat="1" applyFont="1" applyFill="1" applyBorder="1" applyAlignment="1" applyProtection="1">
      <alignment horizontal="center" vertical="center"/>
      <protection hidden="1"/>
    </xf>
    <xf numFmtId="3" fontId="9" fillId="7" borderId="61" xfId="0" applyNumberFormat="1" applyFont="1" applyFill="1" applyBorder="1" applyAlignment="1" applyProtection="1">
      <alignment horizontal="center" vertical="center"/>
      <protection locked="0"/>
    </xf>
    <xf numFmtId="3" fontId="9" fillId="5" borderId="17" xfId="0" applyNumberFormat="1" applyFont="1" applyFill="1" applyBorder="1" applyAlignment="1">
      <alignment horizontal="center" vertical="center"/>
    </xf>
    <xf numFmtId="3" fontId="9" fillId="5" borderId="36" xfId="0" applyNumberFormat="1" applyFont="1" applyFill="1" applyBorder="1" applyAlignment="1">
      <alignment horizontal="center" vertical="center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4" fillId="0" borderId="50" xfId="0" applyNumberFormat="1" applyFont="1" applyBorder="1" applyAlignment="1" applyProtection="1">
      <alignment horizontal="center" vertical="center"/>
      <protection hidden="1"/>
    </xf>
    <xf numFmtId="3" fontId="4" fillId="0" borderId="52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9" fillId="7" borderId="35" xfId="0" applyNumberFormat="1" applyFont="1" applyFill="1" applyBorder="1" applyAlignment="1" applyProtection="1">
      <alignment horizontal="center" vertical="center"/>
      <protection locked="0"/>
    </xf>
    <xf numFmtId="3" fontId="9" fillId="7" borderId="36" xfId="0" applyNumberFormat="1" applyFont="1" applyFill="1" applyBorder="1" applyAlignment="1" applyProtection="1">
      <alignment horizontal="center" vertical="center"/>
      <protection locked="0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4" fillId="0" borderId="32" xfId="0" applyNumberFormat="1" applyFont="1" applyBorder="1" applyAlignment="1" applyProtection="1">
      <alignment horizontal="center" vertical="center"/>
      <protection hidden="1"/>
    </xf>
    <xf numFmtId="3" fontId="4" fillId="0" borderId="116" xfId="0" applyNumberFormat="1" applyFont="1" applyBorder="1" applyAlignment="1" applyProtection="1">
      <alignment horizontal="center" vertical="center"/>
      <protection hidden="1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68" xfId="0" applyNumberFormat="1" applyFont="1" applyBorder="1" applyAlignment="1" applyProtection="1">
      <alignment horizontal="center" vertical="center"/>
      <protection hidden="1"/>
    </xf>
    <xf numFmtId="3" fontId="10" fillId="0" borderId="23" xfId="0" applyNumberFormat="1" applyFont="1" applyBorder="1" applyAlignment="1" applyProtection="1">
      <alignment horizontal="center" vertical="center"/>
      <protection hidden="1"/>
    </xf>
    <xf numFmtId="3" fontId="10" fillId="9" borderId="32" xfId="0" applyNumberFormat="1" applyFont="1" applyFill="1" applyBorder="1" applyAlignment="1" applyProtection="1">
      <alignment horizontal="center" vertical="center"/>
      <protection hidden="1"/>
    </xf>
    <xf numFmtId="3" fontId="10" fillId="9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20" xfId="0" applyNumberFormat="1" applyFont="1" applyBorder="1" applyAlignment="1" applyProtection="1">
      <alignment horizontal="center" vertical="center"/>
      <protection hidden="1"/>
    </xf>
    <xf numFmtId="164" fontId="13" fillId="0" borderId="17" xfId="0" applyNumberFormat="1" applyFont="1" applyBorder="1" applyAlignment="1" applyProtection="1">
      <alignment horizontal="center" vertical="center"/>
      <protection hidden="1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3" fontId="4" fillId="7" borderId="20" xfId="0" applyNumberFormat="1" applyFont="1" applyFill="1" applyBorder="1" applyAlignment="1" applyProtection="1">
      <alignment horizontal="center" vertical="center"/>
      <protection locked="0"/>
    </xf>
    <xf numFmtId="3" fontId="4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3" fontId="10" fillId="8" borderId="35" xfId="0" applyNumberFormat="1" applyFont="1" applyFill="1" applyBorder="1" applyAlignment="1" applyProtection="1">
      <alignment horizontal="center" vertical="center"/>
      <protection hidden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4" fillId="0" borderId="48" xfId="0" applyNumberFormat="1" applyFont="1" applyBorder="1" applyAlignment="1" applyProtection="1">
      <alignment horizontal="center" vertical="center"/>
      <protection hidden="1"/>
    </xf>
    <xf numFmtId="3" fontId="4" fillId="0" borderId="24" xfId="0" applyNumberFormat="1" applyFont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0" borderId="54" xfId="0" applyNumberFormat="1" applyFont="1" applyBorder="1" applyAlignment="1" applyProtection="1">
      <alignment horizontal="center" vertical="center"/>
      <protection hidden="1"/>
    </xf>
    <xf numFmtId="3" fontId="10" fillId="7" borderId="44" xfId="0" applyNumberFormat="1" applyFont="1" applyFill="1" applyBorder="1" applyAlignment="1" applyProtection="1">
      <alignment horizontal="center" vertical="center"/>
      <protection locked="0"/>
    </xf>
    <xf numFmtId="3" fontId="9" fillId="0" borderId="44" xfId="0" applyNumberFormat="1" applyFont="1" applyBorder="1" applyAlignment="1" applyProtection="1">
      <alignment horizontal="center" vertical="center"/>
      <protection hidden="1"/>
    </xf>
    <xf numFmtId="3" fontId="9" fillId="0" borderId="38" xfId="0" applyNumberFormat="1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7" borderId="8" xfId="0" applyNumberFormat="1" applyFont="1" applyFill="1" applyBorder="1" applyAlignment="1" applyProtection="1">
      <alignment horizontal="center" vertical="center"/>
      <protection locked="0"/>
    </xf>
    <xf numFmtId="3" fontId="10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0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5" fillId="7" borderId="89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top"/>
      <protection hidden="1"/>
    </xf>
    <xf numFmtId="0" fontId="2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right" vertical="top" wrapText="1"/>
      <protection hidden="1"/>
    </xf>
    <xf numFmtId="3" fontId="10" fillId="7" borderId="54" xfId="0" applyNumberFormat="1" applyFont="1" applyFill="1" applyBorder="1" applyAlignment="1" applyProtection="1">
      <alignment horizontal="center" vertical="center"/>
      <protection locked="0"/>
    </xf>
    <xf numFmtId="3" fontId="10" fillId="5" borderId="2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2" fillId="0" borderId="0" xfId="0" applyNumberFormat="1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" fillId="3" borderId="0" xfId="0" applyFont="1" applyFill="1" applyAlignment="1" applyProtection="1">
      <alignment horizontal="left" vertical="center" wrapText="1"/>
      <protection hidden="1"/>
    </xf>
    <xf numFmtId="0" fontId="2" fillId="3" borderId="139" xfId="0" applyFont="1" applyFill="1" applyBorder="1" applyAlignment="1" applyProtection="1">
      <alignment horizontal="center" vertical="center"/>
      <protection hidden="1"/>
    </xf>
    <xf numFmtId="0" fontId="2" fillId="0" borderId="139" xfId="0" applyFont="1" applyBorder="1" applyAlignment="1" applyProtection="1">
      <alignment horizontal="left" vertical="center" wrapText="1"/>
      <protection hidden="1"/>
    </xf>
    <xf numFmtId="166" fontId="2" fillId="0" borderId="139" xfId="0" applyNumberFormat="1" applyFont="1" applyBorder="1" applyAlignment="1" applyProtection="1">
      <alignment horizontal="center" vertical="center" wrapText="1"/>
      <protection hidden="1"/>
    </xf>
    <xf numFmtId="3" fontId="9" fillId="0" borderId="22" xfId="0" applyNumberFormat="1" applyFont="1" applyBorder="1" applyAlignment="1" applyProtection="1">
      <alignment horizontal="center" vertical="center"/>
      <protection hidden="1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9" fillId="0" borderId="45" xfId="0" applyFont="1" applyBorder="1" applyAlignment="1">
      <alignment horizontal="lef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3" fontId="10" fillId="5" borderId="17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shrinkToFit="1"/>
    </xf>
    <xf numFmtId="3" fontId="10" fillId="0" borderId="0" xfId="0" applyNumberFormat="1" applyFont="1" applyAlignment="1">
      <alignment horizontal="right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locked="0"/>
    </xf>
    <xf numFmtId="3" fontId="10" fillId="0" borderId="2" xfId="0" applyNumberFormat="1" applyFont="1" applyBorder="1" applyAlignment="1" applyProtection="1">
      <alignment horizontal="center" vertical="center"/>
      <protection hidden="1"/>
    </xf>
    <xf numFmtId="0" fontId="9" fillId="0" borderId="0" xfId="0" applyFont="1" applyAlignment="1">
      <alignment vertical="top" wrapText="1"/>
    </xf>
    <xf numFmtId="0" fontId="4" fillId="0" borderId="12" xfId="0" applyFont="1" applyBorder="1" applyAlignment="1">
      <alignment horizontal="center"/>
    </xf>
    <xf numFmtId="0" fontId="0" fillId="0" borderId="9" xfId="0" applyBorder="1"/>
    <xf numFmtId="3" fontId="4" fillId="0" borderId="62" xfId="0" applyNumberFormat="1" applyFont="1" applyBorder="1" applyAlignment="1" applyProtection="1">
      <alignment horizontal="center"/>
      <protection hidden="1"/>
    </xf>
    <xf numFmtId="3" fontId="4" fillId="0" borderId="2" xfId="0" applyNumberFormat="1" applyFont="1" applyBorder="1" applyAlignment="1" applyProtection="1">
      <alignment horizontal="center"/>
      <protection hidden="1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9" fillId="0" borderId="4" xfId="0" applyFont="1" applyBorder="1" applyAlignment="1">
      <alignment horizontal="right"/>
    </xf>
    <xf numFmtId="3" fontId="9" fillId="0" borderId="4" xfId="0" applyNumberFormat="1" applyFont="1" applyBorder="1" applyAlignment="1">
      <alignment horizontal="center"/>
    </xf>
    <xf numFmtId="3" fontId="9" fillId="0" borderId="4" xfId="0" applyNumberFormat="1" applyFont="1" applyBorder="1" applyAlignment="1" applyProtection="1">
      <alignment horizontal="center"/>
      <protection hidden="1"/>
    </xf>
    <xf numFmtId="3" fontId="4" fillId="0" borderId="63" xfId="0" applyNumberFormat="1" applyFont="1" applyBorder="1" applyAlignment="1" applyProtection="1">
      <alignment horizontal="center"/>
      <protection hidden="1"/>
    </xf>
    <xf numFmtId="3" fontId="4" fillId="0" borderId="64" xfId="0" applyNumberFormat="1" applyFont="1" applyBorder="1" applyAlignment="1" applyProtection="1">
      <alignment horizontal="center"/>
      <protection hidden="1"/>
    </xf>
    <xf numFmtId="0" fontId="3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0" fillId="0" borderId="13" xfId="0" applyFont="1" applyBorder="1" applyAlignment="1">
      <alignment horizontal="center"/>
    </xf>
    <xf numFmtId="3" fontId="4" fillId="0" borderId="30" xfId="0" applyNumberFormat="1" applyFont="1" applyBorder="1" applyAlignment="1" applyProtection="1">
      <alignment horizontal="center"/>
      <protection hidden="1"/>
    </xf>
    <xf numFmtId="3" fontId="4" fillId="0" borderId="5" xfId="0" applyNumberFormat="1" applyFont="1" applyBorder="1" applyAlignment="1" applyProtection="1">
      <alignment horizontal="center"/>
      <protection hidden="1"/>
    </xf>
    <xf numFmtId="3" fontId="10" fillId="7" borderId="0" xfId="0" applyNumberFormat="1" applyFont="1" applyFill="1" applyAlignment="1" applyProtection="1">
      <alignment horizontal="center" vertical="center"/>
      <protection locked="0"/>
    </xf>
    <xf numFmtId="3" fontId="10" fillId="0" borderId="35" xfId="0" applyNumberFormat="1" applyFont="1" applyBorder="1" applyAlignment="1">
      <alignment horizontal="center" vertical="center"/>
    </xf>
    <xf numFmtId="3" fontId="2" fillId="5" borderId="49" xfId="0" applyNumberFormat="1" applyFont="1" applyFill="1" applyBorder="1" applyAlignment="1">
      <alignment horizontal="center" vertical="center"/>
    </xf>
    <xf numFmtId="3" fontId="2" fillId="5" borderId="29" xfId="0" applyNumberFormat="1" applyFont="1" applyFill="1" applyBorder="1" applyAlignment="1">
      <alignment horizontal="center" vertical="center"/>
    </xf>
    <xf numFmtId="3" fontId="2" fillId="7" borderId="30" xfId="0" applyNumberFormat="1" applyFont="1" applyFill="1" applyBorder="1" applyAlignment="1" applyProtection="1">
      <alignment horizontal="center" vertical="center"/>
      <protection locked="0"/>
    </xf>
    <xf numFmtId="3" fontId="2" fillId="0" borderId="125" xfId="0" applyNumberFormat="1" applyFont="1" applyBorder="1" applyAlignment="1" applyProtection="1">
      <alignment horizontal="center" vertical="center"/>
      <protection hidden="1"/>
    </xf>
    <xf numFmtId="0" fontId="2" fillId="0" borderId="125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5" fillId="0" borderId="145" xfId="0" applyFont="1" applyBorder="1" applyAlignment="1">
      <alignment horizontal="right" vertical="center"/>
    </xf>
    <xf numFmtId="0" fontId="5" fillId="0" borderId="146" xfId="0" applyFont="1" applyBorder="1" applyAlignment="1">
      <alignment horizontal="right" vertical="center"/>
    </xf>
    <xf numFmtId="0" fontId="72" fillId="0" borderId="73" xfId="0" applyFont="1" applyBorder="1" applyAlignment="1" applyProtection="1">
      <alignment horizontal="left" vertic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41" xfId="0" applyNumberFormat="1" applyFont="1" applyBorder="1" applyAlignment="1" applyProtection="1">
      <alignment horizontal="center"/>
      <protection hidden="1"/>
    </xf>
    <xf numFmtId="4" fontId="58" fillId="6" borderId="141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2" fillId="0" borderId="141" xfId="2" applyNumberFormat="1" applyFont="1" applyBorder="1" applyAlignment="1" applyProtection="1">
      <alignment horizontal="center"/>
      <protection hidden="1"/>
    </xf>
    <xf numFmtId="2" fontId="2" fillId="0" borderId="145" xfId="0" applyNumberFormat="1" applyFont="1" applyBorder="1" applyAlignment="1" applyProtection="1">
      <alignment horizontal="center" vertical="center"/>
      <protection hidden="1"/>
    </xf>
    <xf numFmtId="0" fontId="2" fillId="0" borderId="67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9" fillId="0" borderId="66" xfId="0" applyFont="1" applyBorder="1" applyAlignment="1">
      <alignment horizontal="right" vertical="center" indent="1"/>
    </xf>
    <xf numFmtId="0" fontId="10" fillId="0" borderId="140" xfId="0" applyFont="1" applyBorder="1" applyAlignment="1" applyProtection="1">
      <alignment horizontal="center"/>
      <protection hidden="1"/>
    </xf>
    <xf numFmtId="0" fontId="10" fillId="0" borderId="146" xfId="0" applyFont="1" applyBorder="1" applyAlignment="1" applyProtection="1">
      <alignment horizontal="center"/>
      <protection hidden="1"/>
    </xf>
    <xf numFmtId="1" fontId="10" fillId="0" borderId="17" xfId="2" applyNumberFormat="1" applyFont="1" applyBorder="1" applyProtection="1">
      <protection hidden="1"/>
    </xf>
    <xf numFmtId="1" fontId="10" fillId="0" borderId="17" xfId="2" applyNumberFormat="1" applyFont="1" applyBorder="1" applyAlignment="1" applyProtection="1">
      <alignment horizontal="right" vertical="center"/>
      <protection hidden="1"/>
    </xf>
    <xf numFmtId="0" fontId="20" fillId="0" borderId="0" xfId="0" applyFont="1" applyAlignment="1">
      <alignment horizontal="left" vertical="center"/>
    </xf>
    <xf numFmtId="3" fontId="2" fillId="0" borderId="124" xfId="0" applyNumberFormat="1" applyFont="1" applyBorder="1" applyAlignment="1" applyProtection="1">
      <alignment horizontal="center" vertical="center" wrapText="1"/>
      <protection hidden="1"/>
    </xf>
    <xf numFmtId="167" fontId="68" fillId="0" borderId="48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3" fontId="10" fillId="0" borderId="30" xfId="0" applyNumberFormat="1" applyFont="1" applyBorder="1" applyAlignment="1" applyProtection="1">
      <alignment horizontal="center" vertical="center"/>
      <protection hidden="1"/>
    </xf>
    <xf numFmtId="166" fontId="10" fillId="0" borderId="35" xfId="0" applyNumberFormat="1" applyFont="1" applyBorder="1" applyAlignment="1" applyProtection="1">
      <alignment horizontal="center"/>
      <protection hidden="1"/>
    </xf>
    <xf numFmtId="165" fontId="5" fillId="7" borderId="38" xfId="0" applyNumberFormat="1" applyFont="1" applyFill="1" applyBorder="1" applyAlignment="1" applyProtection="1">
      <alignment horizontal="center" vertical="center"/>
      <protection locked="0"/>
    </xf>
    <xf numFmtId="0" fontId="5" fillId="0" borderId="10" xfId="0" applyFont="1" applyBorder="1" applyAlignment="1">
      <alignment vertical="center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9" fillId="0" borderId="65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49" fontId="9" fillId="0" borderId="4" xfId="0" applyNumberFormat="1" applyFont="1" applyBorder="1" applyAlignment="1">
      <alignment horizontal="left" vertical="center"/>
    </xf>
    <xf numFmtId="49" fontId="9" fillId="0" borderId="4" xfId="0" applyNumberFormat="1" applyFont="1" applyBorder="1" applyAlignment="1" applyProtection="1">
      <alignment horizontal="left" vertical="center"/>
      <protection hidden="1"/>
    </xf>
    <xf numFmtId="0" fontId="4" fillId="0" borderId="16" xfId="0" applyFont="1" applyBorder="1" applyAlignment="1">
      <alignment vertical="center"/>
    </xf>
    <xf numFmtId="0" fontId="10" fillId="0" borderId="25" xfId="0" applyFont="1" applyBorder="1" applyAlignment="1">
      <alignment horizontal="right" vertical="center"/>
    </xf>
    <xf numFmtId="0" fontId="5" fillId="0" borderId="25" xfId="0" applyFont="1" applyBorder="1" applyAlignment="1">
      <alignment horizontal="right" vertical="center"/>
    </xf>
    <xf numFmtId="0" fontId="5" fillId="0" borderId="64" xfId="0" applyFont="1" applyBorder="1" applyAlignment="1">
      <alignment vertical="center"/>
    </xf>
    <xf numFmtId="4" fontId="2" fillId="6" borderId="141" xfId="0" applyNumberFormat="1" applyFont="1" applyFill="1" applyBorder="1" applyAlignment="1" applyProtection="1">
      <alignment horizontal="center"/>
      <protection hidden="1"/>
    </xf>
    <xf numFmtId="4" fontId="10" fillId="8" borderId="17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41" xfId="0" applyNumberFormat="1" applyFont="1" applyBorder="1" applyAlignment="1" applyProtection="1">
      <alignment horizontal="center" vertical="center"/>
      <protection hidden="1"/>
    </xf>
    <xf numFmtId="0" fontId="20" fillId="0" borderId="0" xfId="0" applyFont="1"/>
    <xf numFmtId="3" fontId="10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57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76" fillId="0" borderId="0" xfId="0" applyFont="1" applyAlignment="1" applyProtection="1">
      <alignment vertical="center"/>
      <protection hidden="1"/>
    </xf>
    <xf numFmtId="3" fontId="42" fillId="7" borderId="61" xfId="0" applyNumberFormat="1" applyFont="1" applyFill="1" applyBorder="1" applyAlignment="1" applyProtection="1">
      <alignment horizontal="center" vertical="center"/>
      <protection locked="0"/>
    </xf>
    <xf numFmtId="3" fontId="42" fillId="7" borderId="86" xfId="0" applyNumberFormat="1" applyFont="1" applyFill="1" applyBorder="1" applyAlignment="1" applyProtection="1">
      <alignment horizontal="center" vertical="center"/>
      <protection locked="0"/>
    </xf>
    <xf numFmtId="3" fontId="41" fillId="7" borderId="61" xfId="0" applyNumberFormat="1" applyFont="1" applyFill="1" applyBorder="1" applyAlignment="1" applyProtection="1">
      <alignment horizontal="center" vertical="center"/>
      <protection locked="0"/>
    </xf>
    <xf numFmtId="0" fontId="2" fillId="0" borderId="141" xfId="0" applyFont="1" applyBorder="1" applyAlignment="1" applyProtection="1">
      <alignment horizontal="center" vertical="center"/>
      <protection hidden="1"/>
    </xf>
    <xf numFmtId="0" fontId="4" fillId="0" borderId="25" xfId="0" applyFont="1" applyBorder="1" applyAlignment="1">
      <alignment horizontal="right" vertical="center"/>
    </xf>
    <xf numFmtId="0" fontId="4" fillId="0" borderId="56" xfId="0" applyFont="1" applyBorder="1" applyAlignment="1">
      <alignment horizontal="right" vertical="center"/>
    </xf>
    <xf numFmtId="167" fontId="5" fillId="3" borderId="10" xfId="0" applyNumberFormat="1" applyFont="1" applyFill="1" applyBorder="1" applyAlignment="1" applyProtection="1">
      <alignment vertical="center"/>
      <protection hidden="1"/>
    </xf>
    <xf numFmtId="164" fontId="5" fillId="7" borderId="38" xfId="0" applyNumberFormat="1" applyFont="1" applyFill="1" applyBorder="1" applyAlignment="1" applyProtection="1">
      <alignment horizontal="center"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locked="0"/>
    </xf>
    <xf numFmtId="165" fontId="10" fillId="0" borderId="54" xfId="0" applyNumberFormat="1" applyFont="1" applyBorder="1" applyAlignment="1" applyProtection="1">
      <alignment horizontal="center" vertical="center"/>
      <protection hidden="1"/>
    </xf>
    <xf numFmtId="0" fontId="4" fillId="0" borderId="65" xfId="0" applyFont="1" applyBorder="1" applyAlignment="1">
      <alignment vertical="center"/>
    </xf>
    <xf numFmtId="3" fontId="4" fillId="0" borderId="51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 applyProtection="1">
      <alignment horizontal="center" vertical="center"/>
      <protection hidden="1"/>
    </xf>
    <xf numFmtId="3" fontId="1" fillId="0" borderId="7" xfId="0" applyNumberFormat="1" applyFont="1" applyBorder="1" applyAlignment="1">
      <alignment horizontal="center" vertical="center"/>
    </xf>
    <xf numFmtId="3" fontId="9" fillId="0" borderId="7" xfId="0" applyNumberFormat="1" applyFont="1" applyBorder="1" applyAlignment="1" applyProtection="1">
      <alignment horizontal="center" vertical="center"/>
      <protection hidden="1"/>
    </xf>
    <xf numFmtId="3" fontId="1" fillId="0" borderId="0" xfId="0" applyNumberFormat="1" applyFont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1" fillId="0" borderId="16" xfId="0" applyNumberFormat="1" applyFont="1" applyBorder="1" applyAlignment="1">
      <alignment horizontal="center" vertical="center"/>
    </xf>
    <xf numFmtId="3" fontId="4" fillId="0" borderId="16" xfId="0" applyNumberFormat="1" applyFont="1" applyBorder="1" applyAlignment="1" applyProtection="1">
      <alignment horizontal="center" vertical="center"/>
      <protection hidden="1"/>
    </xf>
    <xf numFmtId="3" fontId="9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1" fillId="0" borderId="10" xfId="0" applyNumberFormat="1" applyFont="1" applyBorder="1" applyAlignment="1">
      <alignment horizontal="center" vertical="center"/>
    </xf>
    <xf numFmtId="3" fontId="9" fillId="5" borderId="17" xfId="0" applyNumberFormat="1" applyFont="1" applyFill="1" applyBorder="1" applyAlignment="1" applyProtection="1">
      <alignment horizontal="center" vertical="center"/>
      <protection hidden="1"/>
    </xf>
    <xf numFmtId="3" fontId="53" fillId="5" borderId="19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>
      <alignment horizontal="center" vertical="center"/>
    </xf>
    <xf numFmtId="0" fontId="9" fillId="0" borderId="0" xfId="0" applyFont="1" applyProtection="1">
      <protection hidden="1"/>
    </xf>
    <xf numFmtId="0" fontId="10" fillId="0" borderId="10" xfId="0" applyFont="1" applyBorder="1" applyProtection="1">
      <protection hidden="1"/>
    </xf>
    <xf numFmtId="0" fontId="9" fillId="0" borderId="160" xfId="0" applyFont="1" applyBorder="1" applyProtection="1">
      <protection hidden="1"/>
    </xf>
    <xf numFmtId="0" fontId="10" fillId="0" borderId="160" xfId="0" applyFont="1" applyBorder="1"/>
    <xf numFmtId="1" fontId="10" fillId="0" borderId="17" xfId="0" applyNumberFormat="1" applyFont="1" applyBorder="1" applyAlignment="1" applyProtection="1">
      <alignment horizontal="center" vertical="center"/>
      <protection hidden="1"/>
    </xf>
    <xf numFmtId="166" fontId="10" fillId="0" borderId="17" xfId="2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>
      <alignment horizontal="center"/>
    </xf>
    <xf numFmtId="3" fontId="5" fillId="0" borderId="44" xfId="0" applyNumberFormat="1" applyFont="1" applyBorder="1" applyAlignment="1" applyProtection="1">
      <alignment horizontal="center" vertical="center"/>
      <protection hidden="1"/>
    </xf>
    <xf numFmtId="3" fontId="1" fillId="5" borderId="17" xfId="0" applyNumberFormat="1" applyFont="1" applyFill="1" applyBorder="1" applyAlignment="1" applyProtection="1">
      <alignment horizontal="center" vertical="center"/>
      <protection hidden="1"/>
    </xf>
    <xf numFmtId="0" fontId="2" fillId="5" borderId="34" xfId="0" applyFont="1" applyFill="1" applyBorder="1" applyAlignment="1" applyProtection="1">
      <alignment horizontal="center" vertical="center"/>
      <protection hidden="1"/>
    </xf>
    <xf numFmtId="164" fontId="2" fillId="8" borderId="64" xfId="0" applyNumberFormat="1" applyFont="1" applyFill="1" applyBorder="1" applyAlignment="1" applyProtection="1">
      <alignment horizontal="center" vertical="center"/>
      <protection hidden="1"/>
    </xf>
    <xf numFmtId="164" fontId="2" fillId="7" borderId="6" xfId="0" applyNumberFormat="1" applyFont="1" applyFill="1" applyBorder="1" applyAlignment="1" applyProtection="1">
      <alignment horizontal="center" vertical="center"/>
      <protection locked="0"/>
    </xf>
    <xf numFmtId="0" fontId="2" fillId="0" borderId="126" xfId="0" applyFont="1" applyBorder="1" applyAlignment="1" applyProtection="1">
      <alignment horizontal="center" vertical="center"/>
      <protection hidden="1"/>
    </xf>
    <xf numFmtId="166" fontId="10" fillId="0" borderId="35" xfId="2" applyNumberFormat="1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/>
      <protection hidden="1"/>
    </xf>
    <xf numFmtId="0" fontId="10" fillId="0" borderId="10" xfId="0" applyFont="1" applyBorder="1" applyAlignment="1" applyProtection="1">
      <alignment horizontal="center"/>
      <protection hidden="1"/>
    </xf>
    <xf numFmtId="0" fontId="10" fillId="0" borderId="44" xfId="0" applyFont="1" applyBorder="1" applyAlignment="1" applyProtection="1">
      <alignment horizontal="center"/>
      <protection hidden="1"/>
    </xf>
    <xf numFmtId="0" fontId="9" fillId="0" borderId="10" xfId="0" applyFont="1" applyBorder="1" applyProtection="1">
      <protection hidden="1"/>
    </xf>
    <xf numFmtId="0" fontId="9" fillId="0" borderId="44" xfId="0" applyFont="1" applyBorder="1" applyProtection="1">
      <protection hidden="1"/>
    </xf>
    <xf numFmtId="0" fontId="0" fillId="0" borderId="10" xfId="0" applyBorder="1"/>
    <xf numFmtId="0" fontId="0" fillId="0" borderId="44" xfId="0" applyBorder="1"/>
    <xf numFmtId="0" fontId="10" fillId="0" borderId="16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10" fillId="0" borderId="162" xfId="0" applyFont="1" applyBorder="1" applyProtection="1">
      <protection hidden="1"/>
    </xf>
    <xf numFmtId="0" fontId="10" fillId="0" borderId="162" xfId="0" applyFont="1" applyBorder="1"/>
    <xf numFmtId="17" fontId="10" fillId="0" borderId="0" xfId="0" applyNumberFormat="1" applyFont="1" applyAlignment="1">
      <alignment horizontal="center" vertical="center"/>
    </xf>
    <xf numFmtId="6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vertical="center"/>
    </xf>
    <xf numFmtId="0" fontId="5" fillId="0" borderId="19" xfId="0" applyFont="1" applyBorder="1" applyAlignment="1" applyProtection="1">
      <alignment vertical="center"/>
      <protection hidden="1"/>
    </xf>
    <xf numFmtId="0" fontId="5" fillId="0" borderId="18" xfId="0" applyFont="1" applyBorder="1" applyAlignment="1" applyProtection="1">
      <alignment vertical="center"/>
      <protection hidden="1"/>
    </xf>
    <xf numFmtId="0" fontId="5" fillId="0" borderId="21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8" xfId="0" applyFont="1" applyBorder="1" applyAlignment="1" applyProtection="1">
      <alignment horizontal="center" vertical="center"/>
      <protection hidden="1"/>
    </xf>
    <xf numFmtId="0" fontId="5" fillId="0" borderId="1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32" xfId="0" applyFont="1" applyBorder="1" applyAlignment="1" applyProtection="1">
      <alignment vertical="center"/>
      <protection hidden="1"/>
    </xf>
    <xf numFmtId="0" fontId="5" fillId="0" borderId="23" xfId="0" applyFont="1" applyBorder="1" applyAlignment="1" applyProtection="1">
      <alignment vertical="center"/>
      <protection hidden="1"/>
    </xf>
    <xf numFmtId="0" fontId="5" fillId="0" borderId="54" xfId="0" applyFont="1" applyBorder="1" applyAlignment="1" applyProtection="1">
      <alignment horizontal="center" vertical="center"/>
      <protection hidden="1"/>
    </xf>
    <xf numFmtId="0" fontId="5" fillId="0" borderId="32" xfId="0" applyFont="1" applyBorder="1" applyAlignment="1" applyProtection="1">
      <alignment horizontal="center" vertical="center"/>
      <protection hidden="1"/>
    </xf>
    <xf numFmtId="0" fontId="5" fillId="0" borderId="32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60" xfId="0" applyFont="1" applyBorder="1" applyAlignment="1" applyProtection="1">
      <alignment horizontal="center" vertical="center"/>
      <protection hidden="1"/>
    </xf>
    <xf numFmtId="0" fontId="5" fillId="0" borderId="54" xfId="0" applyFont="1" applyBorder="1" applyAlignment="1">
      <alignment horizontal="center" vertical="center"/>
    </xf>
    <xf numFmtId="0" fontId="5" fillId="0" borderId="17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10" fontId="2" fillId="5" borderId="17" xfId="2" applyNumberFormat="1" applyFont="1" applyFill="1" applyBorder="1" applyAlignment="1" applyProtection="1">
      <alignment horizontal="center" vertical="center"/>
      <protection hidden="1"/>
    </xf>
    <xf numFmtId="10" fontId="2" fillId="5" borderId="19" xfId="2" applyNumberFormat="1" applyFont="1" applyFill="1" applyBorder="1" applyAlignment="1" applyProtection="1">
      <alignment horizontal="center" vertical="center"/>
      <protection hidden="1"/>
    </xf>
    <xf numFmtId="10" fontId="2" fillId="7" borderId="19" xfId="0" applyNumberFormat="1" applyFont="1" applyFill="1" applyBorder="1" applyAlignment="1">
      <alignment horizontal="center" vertical="center"/>
    </xf>
    <xf numFmtId="10" fontId="2" fillId="5" borderId="19" xfId="0" applyNumberFormat="1" applyFont="1" applyFill="1" applyBorder="1" applyAlignment="1">
      <alignment horizontal="center" vertical="center"/>
    </xf>
    <xf numFmtId="10" fontId="5" fillId="5" borderId="35" xfId="0" applyNumberFormat="1" applyFont="1" applyFill="1" applyBorder="1" applyAlignment="1">
      <alignment horizontal="center" vertical="center"/>
    </xf>
    <xf numFmtId="10" fontId="2" fillId="5" borderId="17" xfId="0" applyNumberFormat="1" applyFont="1" applyFill="1" applyBorder="1" applyAlignment="1">
      <alignment horizontal="center" vertical="center"/>
    </xf>
    <xf numFmtId="10" fontId="2" fillId="7" borderId="17" xfId="0" applyNumberFormat="1" applyFont="1" applyFill="1" applyBorder="1" applyAlignment="1">
      <alignment horizontal="center" vertical="center"/>
    </xf>
    <xf numFmtId="10" fontId="5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5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5" fillId="0" borderId="17" xfId="0" applyNumberFormat="1" applyFont="1" applyBorder="1" applyAlignment="1" applyProtection="1">
      <alignment horizontal="center" vertical="center"/>
      <protection hidden="1"/>
    </xf>
    <xf numFmtId="164" fontId="5" fillId="0" borderId="17" xfId="2" applyNumberFormat="1" applyFont="1" applyFill="1" applyBorder="1" applyAlignment="1" applyProtection="1">
      <alignment horizontal="center" vertical="center"/>
      <protection hidden="1"/>
    </xf>
    <xf numFmtId="3" fontId="5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5" fillId="5" borderId="17" xfId="0" applyNumberFormat="1" applyFont="1" applyFill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5" fillId="0" borderId="35" xfId="0" applyNumberFormat="1" applyFont="1" applyBorder="1" applyAlignment="1">
      <alignment horizontal="center" vertical="center"/>
    </xf>
    <xf numFmtId="3" fontId="5" fillId="5" borderId="17" xfId="2" applyNumberFormat="1" applyFont="1" applyFill="1" applyBorder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>
      <alignment horizontal="left" vertical="center"/>
    </xf>
    <xf numFmtId="164" fontId="4" fillId="0" borderId="0" xfId="2" applyNumberFormat="1" applyFont="1" applyFill="1" applyBorder="1" applyAlignment="1" applyProtection="1">
      <alignment horizontal="right"/>
      <protection hidden="1"/>
    </xf>
    <xf numFmtId="10" fontId="4" fillId="0" borderId="0" xfId="2" applyNumberFormat="1" applyFont="1" applyFill="1" applyBorder="1" applyAlignment="1" applyProtection="1">
      <alignment horizontal="right"/>
      <protection hidden="1"/>
    </xf>
    <xf numFmtId="164" fontId="38" fillId="0" borderId="0" xfId="2" applyNumberFormat="1" applyFont="1" applyFill="1" applyBorder="1" applyAlignment="1" applyProtection="1">
      <alignment horizontal="center"/>
    </xf>
    <xf numFmtId="164" fontId="4" fillId="0" borderId="0" xfId="0" applyNumberFormat="1" applyFont="1"/>
    <xf numFmtId="3" fontId="38" fillId="0" borderId="0" xfId="2" applyNumberFormat="1" applyFont="1" applyFill="1" applyBorder="1" applyAlignment="1" applyProtection="1">
      <alignment horizontal="center"/>
    </xf>
    <xf numFmtId="166" fontId="3" fillId="0" borderId="0" xfId="0" applyNumberFormat="1" applyFont="1"/>
    <xf numFmtId="0" fontId="3" fillId="0" borderId="0" xfId="0" applyFont="1" applyAlignment="1">
      <alignment horizontal="right"/>
    </xf>
    <xf numFmtId="0" fontId="4" fillId="0" borderId="0" xfId="0" applyFont="1" applyAlignment="1" applyProtection="1">
      <alignment horizontal="left"/>
      <protection hidden="1"/>
    </xf>
    <xf numFmtId="10" fontId="4" fillId="0" borderId="0" xfId="2" applyNumberFormat="1" applyFont="1" applyFill="1" applyBorder="1" applyAlignment="1" applyProtection="1">
      <alignment horizontal="right"/>
    </xf>
    <xf numFmtId="0" fontId="4" fillId="0" borderId="0" xfId="0" applyFont="1" applyAlignment="1" applyProtection="1">
      <alignment horizontal="right"/>
      <protection hidden="1"/>
    </xf>
    <xf numFmtId="3" fontId="4" fillId="0" borderId="0" xfId="2" applyNumberFormat="1" applyFont="1" applyFill="1" applyBorder="1" applyAlignment="1" applyProtection="1">
      <alignment horizontal="right"/>
    </xf>
    <xf numFmtId="164" fontId="3" fillId="0" borderId="0" xfId="2" applyNumberFormat="1" applyFont="1" applyFill="1" applyBorder="1" applyAlignment="1" applyProtection="1">
      <alignment horizontal="right"/>
    </xf>
    <xf numFmtId="10" fontId="3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3" fillId="0" borderId="0" xfId="0" applyNumberFormat="1" applyFont="1" applyAlignment="1">
      <alignment horizontal="right"/>
    </xf>
    <xf numFmtId="10" fontId="45" fillId="0" borderId="0" xfId="2" applyNumberFormat="1" applyFont="1" applyFill="1" applyBorder="1" applyProtection="1"/>
    <xf numFmtId="164" fontId="4" fillId="0" borderId="0" xfId="2" applyNumberFormat="1" applyFont="1" applyFill="1" applyBorder="1" applyProtection="1"/>
    <xf numFmtId="167" fontId="2" fillId="0" borderId="163" xfId="0" applyNumberFormat="1" applyFont="1" applyBorder="1" applyAlignment="1" applyProtection="1">
      <alignment horizontal="center" vertical="center"/>
      <protection hidden="1"/>
    </xf>
    <xf numFmtId="0" fontId="5" fillId="0" borderId="164" xfId="0" applyFont="1" applyBorder="1" applyAlignment="1" applyProtection="1">
      <alignment vertical="center"/>
      <protection hidden="1"/>
    </xf>
    <xf numFmtId="0" fontId="5" fillId="0" borderId="165" xfId="0" applyFont="1" applyBorder="1" applyAlignment="1" applyProtection="1">
      <alignment horizontal="center" vertical="center"/>
      <protection hidden="1"/>
    </xf>
    <xf numFmtId="167" fontId="5" fillId="0" borderId="165" xfId="0" applyNumberFormat="1" applyFont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center"/>
    </xf>
    <xf numFmtId="3" fontId="10" fillId="0" borderId="160" xfId="0" applyNumberFormat="1" applyFont="1" applyBorder="1" applyAlignment="1">
      <alignment horizontal="center"/>
    </xf>
    <xf numFmtId="3" fontId="10" fillId="0" borderId="161" xfId="0" applyNumberFormat="1" applyFont="1" applyBorder="1" applyAlignment="1">
      <alignment horizontal="center"/>
    </xf>
    <xf numFmtId="0" fontId="5" fillId="0" borderId="68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9" fontId="9" fillId="0" borderId="24" xfId="0" applyNumberFormat="1" applyFont="1" applyBorder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 vertical="top" wrapText="1"/>
      <protection hidden="1"/>
    </xf>
    <xf numFmtId="0" fontId="10" fillId="13" borderId="34" xfId="0" applyFont="1" applyFill="1" applyBorder="1" applyAlignment="1">
      <alignment horizontal="center" vertical="center"/>
    </xf>
    <xf numFmtId="0" fontId="10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6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1" xfId="0" applyFont="1" applyFill="1" applyBorder="1" applyAlignment="1" applyProtection="1">
      <alignment horizontal="center" vertical="center"/>
      <protection hidden="1"/>
    </xf>
    <xf numFmtId="0" fontId="61" fillId="13" borderId="154" xfId="0" applyFont="1" applyFill="1" applyBorder="1" applyAlignment="1" applyProtection="1">
      <alignment horizontal="center" vertical="center"/>
      <protection hidden="1"/>
    </xf>
    <xf numFmtId="0" fontId="79" fillId="13" borderId="104" xfId="0" applyFont="1" applyFill="1" applyBorder="1" applyAlignment="1">
      <alignment horizontal="center"/>
    </xf>
    <xf numFmtId="0" fontId="79" fillId="13" borderId="105" xfId="0" applyFont="1" applyFill="1" applyBorder="1"/>
    <xf numFmtId="0" fontId="79" fillId="13" borderId="111" xfId="0" applyFont="1" applyFill="1" applyBorder="1"/>
    <xf numFmtId="0" fontId="84" fillId="13" borderId="112" xfId="0" applyFont="1" applyFill="1" applyBorder="1" applyAlignment="1" applyProtection="1">
      <alignment horizontal="center"/>
      <protection hidden="1"/>
    </xf>
    <xf numFmtId="0" fontId="84" fillId="13" borderId="113" xfId="0" applyFont="1" applyFill="1" applyBorder="1" applyAlignment="1" applyProtection="1">
      <alignment horizontal="center"/>
      <protection hidden="1"/>
    </xf>
    <xf numFmtId="0" fontId="84" fillId="13" borderId="114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1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54" xfId="0" applyNumberFormat="1" applyFont="1" applyFill="1" applyBorder="1" applyAlignment="1" applyProtection="1">
      <alignment horizontal="center"/>
      <protection hidden="1"/>
    </xf>
    <xf numFmtId="0" fontId="85" fillId="13" borderId="107" xfId="0" applyFont="1" applyFill="1" applyBorder="1" applyAlignment="1">
      <alignment horizontal="center"/>
    </xf>
    <xf numFmtId="0" fontId="85" fillId="13" borderId="108" xfId="0" applyFont="1" applyFill="1" applyBorder="1"/>
    <xf numFmtId="0" fontId="79" fillId="13" borderId="115" xfId="0" applyFont="1" applyFill="1" applyBorder="1"/>
    <xf numFmtId="168" fontId="82" fillId="13" borderId="61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8" xfId="0" applyNumberFormat="1" applyFont="1" applyFill="1" applyBorder="1" applyAlignment="1">
      <alignment horizontal="center" vertical="center"/>
    </xf>
    <xf numFmtId="168" fontId="82" fillId="13" borderId="155" xfId="0" applyNumberFormat="1" applyFont="1" applyFill="1" applyBorder="1" applyAlignment="1">
      <alignment horizontal="center"/>
    </xf>
    <xf numFmtId="168" fontId="82" fillId="13" borderId="156" xfId="0" applyNumberFormat="1" applyFont="1" applyFill="1" applyBorder="1" applyAlignment="1">
      <alignment horizontal="center"/>
    </xf>
    <xf numFmtId="168" fontId="82" fillId="13" borderId="157" xfId="0" applyNumberFormat="1" applyFont="1" applyFill="1" applyBorder="1" applyAlignment="1">
      <alignment horizontal="center"/>
    </xf>
    <xf numFmtId="0" fontId="86" fillId="13" borderId="65" xfId="0" applyFont="1" applyFill="1" applyBorder="1" applyAlignment="1">
      <alignment horizontal="center" vertical="center"/>
    </xf>
    <xf numFmtId="0" fontId="86" fillId="13" borderId="65" xfId="0" applyFont="1" applyFill="1" applyBorder="1" applyAlignment="1">
      <alignment horizontal="center" vertical="center" wrapText="1"/>
    </xf>
    <xf numFmtId="0" fontId="84" fillId="13" borderId="65" xfId="0" applyFont="1" applyFill="1" applyBorder="1" applyAlignment="1">
      <alignment horizontal="center" vertical="center"/>
    </xf>
    <xf numFmtId="3" fontId="86" fillId="13" borderId="65" xfId="0" applyNumberFormat="1" applyFont="1" applyFill="1" applyBorder="1" applyAlignment="1" applyProtection="1">
      <alignment horizontal="center" vertical="center"/>
      <protection locked="0"/>
    </xf>
    <xf numFmtId="1" fontId="86" fillId="13" borderId="65" xfId="0" applyNumberFormat="1" applyFont="1" applyFill="1" applyBorder="1" applyAlignment="1" applyProtection="1">
      <alignment horizontal="center" vertical="center"/>
      <protection locked="0"/>
    </xf>
    <xf numFmtId="164" fontId="86" fillId="13" borderId="65" xfId="0" applyNumberFormat="1" applyFont="1" applyFill="1" applyBorder="1" applyAlignment="1" applyProtection="1">
      <alignment horizontal="center" vertical="center"/>
      <protection locked="0"/>
    </xf>
    <xf numFmtId="3" fontId="86" fillId="13" borderId="65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4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4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81" fillId="13" borderId="110" xfId="0" applyFont="1" applyFill="1" applyBorder="1" applyAlignment="1">
      <alignment horizontal="right" vertical="center" wrapText="1"/>
    </xf>
    <xf numFmtId="0" fontId="4" fillId="4" borderId="64" xfId="0" applyFont="1" applyFill="1" applyBorder="1" applyAlignment="1" applyProtection="1">
      <alignment horizontal="right" vertical="center"/>
      <protection hidden="1"/>
    </xf>
    <xf numFmtId="0" fontId="4" fillId="4" borderId="4" xfId="0" applyFont="1" applyFill="1" applyBorder="1" applyAlignment="1" applyProtection="1">
      <alignment vertical="center"/>
      <protection hidden="1"/>
    </xf>
    <xf numFmtId="3" fontId="4" fillId="4" borderId="3" xfId="0" applyNumberFormat="1" applyFont="1" applyFill="1" applyBorder="1" applyAlignment="1" applyProtection="1">
      <alignment horizontal="center" vertical="center"/>
      <protection hidden="1"/>
    </xf>
    <xf numFmtId="3" fontId="4" fillId="4" borderId="5" xfId="0" applyNumberFormat="1" applyFont="1" applyFill="1" applyBorder="1" applyAlignment="1" applyProtection="1">
      <alignment horizontal="center" vertical="center"/>
      <protection hidden="1"/>
    </xf>
    <xf numFmtId="167" fontId="4" fillId="3" borderId="5" xfId="0" applyNumberFormat="1" applyFont="1" applyFill="1" applyBorder="1" applyAlignment="1" applyProtection="1">
      <alignment horizontal="center" vertical="center"/>
      <protection hidden="1"/>
    </xf>
    <xf numFmtId="167" fontId="4" fillId="3" borderId="6" xfId="0" applyNumberFormat="1" applyFont="1" applyFill="1" applyBorder="1" applyAlignment="1" applyProtection="1">
      <alignment horizontal="center" vertical="center"/>
      <protection hidden="1"/>
    </xf>
    <xf numFmtId="0" fontId="84" fillId="13" borderId="29" xfId="0" applyFont="1" applyFill="1" applyBorder="1" applyAlignment="1">
      <alignment horizontal="center" vertical="center"/>
    </xf>
    <xf numFmtId="1" fontId="61" fillId="13" borderId="61" xfId="0" applyNumberFormat="1" applyFont="1" applyFill="1" applyBorder="1" applyAlignment="1" applyProtection="1">
      <alignment horizontal="center" vertical="center"/>
      <protection hidden="1"/>
    </xf>
    <xf numFmtId="1" fontId="61" fillId="13" borderId="58" xfId="0" applyNumberFormat="1" applyFont="1" applyFill="1" applyBorder="1" applyAlignment="1" applyProtection="1">
      <alignment horizontal="center" vertical="center"/>
      <protection hidden="1"/>
    </xf>
    <xf numFmtId="1" fontId="61" fillId="13" borderId="63" xfId="0" applyNumberFormat="1" applyFont="1" applyFill="1" applyBorder="1" applyAlignment="1" applyProtection="1">
      <alignment horizontal="center" vertical="center"/>
      <protection hidden="1"/>
    </xf>
    <xf numFmtId="1" fontId="61" fillId="13" borderId="67" xfId="0" applyNumberFormat="1" applyFont="1" applyFill="1" applyBorder="1" applyAlignment="1" applyProtection="1">
      <alignment horizontal="center" vertical="center"/>
      <protection hidden="1"/>
    </xf>
    <xf numFmtId="168" fontId="82" fillId="13" borderId="63" xfId="0" applyNumberFormat="1" applyFont="1" applyFill="1" applyBorder="1" applyAlignment="1">
      <alignment horizontal="center" vertical="center"/>
    </xf>
    <xf numFmtId="168" fontId="82" fillId="13" borderId="67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1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66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68" xfId="0" applyFont="1" applyFill="1" applyBorder="1" applyAlignment="1">
      <alignment horizontal="center" vertical="center"/>
    </xf>
    <xf numFmtId="17" fontId="82" fillId="13" borderId="168" xfId="0" applyNumberFormat="1" applyFont="1" applyFill="1" applyBorder="1" applyAlignment="1">
      <alignment horizontal="center" vertical="center"/>
    </xf>
    <xf numFmtId="0" fontId="82" fillId="13" borderId="168" xfId="0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68" xfId="0" applyNumberFormat="1" applyFont="1" applyFill="1" applyBorder="1" applyAlignment="1" applyProtection="1">
      <alignment horizontal="center" vertical="center"/>
      <protection hidden="1"/>
    </xf>
    <xf numFmtId="3" fontId="82" fillId="13" borderId="16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8" fillId="13" borderId="0" xfId="0" applyFont="1" applyFill="1" applyProtection="1">
      <protection hidden="1"/>
    </xf>
    <xf numFmtId="0" fontId="88" fillId="13" borderId="144" xfId="0" applyFont="1" applyFill="1" applyBorder="1" applyProtection="1"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49" fontId="86" fillId="13" borderId="143" xfId="0" applyNumberFormat="1" applyFont="1" applyFill="1" applyBorder="1" applyAlignment="1" applyProtection="1">
      <alignment horizontal="center" vertical="center"/>
      <protection hidden="1"/>
    </xf>
    <xf numFmtId="0" fontId="86" fillId="13" borderId="144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0" fontId="84" fillId="13" borderId="0" xfId="0" applyFont="1" applyFill="1" applyAlignment="1" applyProtection="1">
      <alignment horizontal="center" vertical="center" wrapText="1"/>
      <protection hidden="1"/>
    </xf>
    <xf numFmtId="164" fontId="84" fillId="13" borderId="139" xfId="0" applyNumberFormat="1" applyFont="1" applyFill="1" applyBorder="1" applyAlignment="1" applyProtection="1">
      <alignment horizontal="center" vertical="center"/>
      <protection hidden="1"/>
    </xf>
    <xf numFmtId="3" fontId="84" fillId="13" borderId="139" xfId="0" applyNumberFormat="1" applyFont="1" applyFill="1" applyBorder="1" applyAlignment="1" applyProtection="1">
      <alignment horizontal="center" vertical="center"/>
      <protection hidden="1"/>
    </xf>
    <xf numFmtId="166" fontId="84" fillId="13" borderId="139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2" fillId="0" borderId="141" xfId="0" applyNumberFormat="1" applyFont="1" applyBorder="1" applyAlignment="1" applyProtection="1">
      <alignment horizontal="center" vertical="center"/>
      <protection hidden="1"/>
    </xf>
    <xf numFmtId="0" fontId="88" fillId="13" borderId="172" xfId="0" applyFont="1" applyFill="1" applyBorder="1" applyAlignment="1" applyProtection="1">
      <alignment vertical="center"/>
      <protection hidden="1"/>
    </xf>
    <xf numFmtId="0" fontId="88" fillId="13" borderId="173" xfId="0" applyFont="1" applyFill="1" applyBorder="1" applyAlignment="1" applyProtection="1">
      <alignment vertical="center"/>
      <protection hidden="1"/>
    </xf>
    <xf numFmtId="0" fontId="88" fillId="13" borderId="174" xfId="0" applyFont="1" applyFill="1" applyBorder="1" applyAlignment="1" applyProtection="1">
      <alignment vertical="center"/>
      <protection hidden="1"/>
    </xf>
    <xf numFmtId="0" fontId="88" fillId="13" borderId="177" xfId="0" applyFont="1" applyFill="1" applyBorder="1" applyProtection="1">
      <protection hidden="1"/>
    </xf>
    <xf numFmtId="0" fontId="84" fillId="13" borderId="185" xfId="0" applyFont="1" applyFill="1" applyBorder="1" applyAlignment="1" applyProtection="1">
      <alignment horizontal="center" vertical="center"/>
      <protection hidden="1"/>
    </xf>
    <xf numFmtId="0" fontId="5" fillId="0" borderId="189" xfId="0" applyFont="1" applyBorder="1" applyAlignment="1" applyProtection="1">
      <alignment horizontal="center" vertical="center"/>
      <protection hidden="1"/>
    </xf>
    <xf numFmtId="0" fontId="5" fillId="7" borderId="188" xfId="0" applyFont="1" applyFill="1" applyBorder="1" applyAlignment="1" applyProtection="1">
      <alignment vertical="center"/>
      <protection locked="0"/>
    </xf>
    <xf numFmtId="0" fontId="5" fillId="0" borderId="190" xfId="0" applyFont="1" applyBorder="1" applyAlignment="1" applyProtection="1">
      <alignment horizontal="center" vertical="center"/>
      <protection hidden="1"/>
    </xf>
    <xf numFmtId="0" fontId="5" fillId="0" borderId="191" xfId="0" applyFont="1" applyBorder="1" applyAlignment="1" applyProtection="1">
      <alignment horizontal="center" vertical="center"/>
      <protection hidden="1"/>
    </xf>
    <xf numFmtId="0" fontId="2" fillId="0" borderId="192" xfId="0" applyFont="1" applyBorder="1" applyAlignment="1" applyProtection="1">
      <alignment vertical="center"/>
      <protection hidden="1"/>
    </xf>
    <xf numFmtId="167" fontId="2" fillId="0" borderId="193" xfId="0" applyNumberFormat="1" applyFont="1" applyBorder="1" applyAlignment="1" applyProtection="1">
      <alignment horizontal="center" vertical="center"/>
      <protection hidden="1"/>
    </xf>
    <xf numFmtId="0" fontId="5" fillId="7" borderId="192" xfId="0" applyFont="1" applyFill="1" applyBorder="1" applyAlignment="1" applyProtection="1">
      <alignment vertical="center"/>
      <protection locked="0"/>
    </xf>
    <xf numFmtId="0" fontId="5" fillId="7" borderId="194" xfId="0" applyFont="1" applyFill="1" applyBorder="1" applyAlignment="1" applyProtection="1">
      <alignment vertical="center"/>
      <protection locked="0"/>
    </xf>
    <xf numFmtId="0" fontId="5" fillId="0" borderId="187" xfId="0" applyFont="1" applyBorder="1" applyAlignment="1" applyProtection="1">
      <alignment horizontal="center" vertical="center"/>
      <protection hidden="1"/>
    </xf>
    <xf numFmtId="0" fontId="5" fillId="0" borderId="195" xfId="0" applyFont="1" applyBorder="1" applyAlignment="1" applyProtection="1">
      <alignment horizontal="center" vertical="center"/>
      <protection hidden="1"/>
    </xf>
    <xf numFmtId="0" fontId="5" fillId="0" borderId="196" xfId="0" applyFont="1" applyBorder="1" applyAlignment="1" applyProtection="1">
      <alignment horizontal="center" vertical="center"/>
      <protection hidden="1"/>
    </xf>
    <xf numFmtId="0" fontId="5" fillId="0" borderId="188" xfId="0" applyFont="1" applyBorder="1" applyAlignment="1">
      <alignment vertical="center"/>
    </xf>
    <xf numFmtId="0" fontId="5" fillId="0" borderId="199" xfId="0" applyFont="1" applyBorder="1" applyAlignment="1" applyProtection="1">
      <alignment horizontal="center" vertical="center"/>
      <protection hidden="1"/>
    </xf>
    <xf numFmtId="0" fontId="2" fillId="0" borderId="200" xfId="0" applyFont="1" applyBorder="1" applyAlignment="1" applyProtection="1">
      <alignment vertical="center"/>
      <protection hidden="1"/>
    </xf>
    <xf numFmtId="167" fontId="2" fillId="0" borderId="201" xfId="0" applyNumberFormat="1" applyFont="1" applyBorder="1" applyAlignment="1" applyProtection="1">
      <alignment horizontal="center" vertical="center"/>
      <protection hidden="1"/>
    </xf>
    <xf numFmtId="0" fontId="86" fillId="13" borderId="188" xfId="0" applyFont="1" applyFill="1" applyBorder="1" applyAlignment="1" applyProtection="1">
      <alignment horizontal="center" vertical="center"/>
      <protection hidden="1"/>
    </xf>
    <xf numFmtId="0" fontId="5" fillId="3" borderId="187" xfId="0" applyFont="1" applyFill="1" applyBorder="1" applyAlignment="1" applyProtection="1">
      <alignment horizontal="center" vertical="center"/>
      <protection hidden="1"/>
    </xf>
    <xf numFmtId="1" fontId="2" fillId="0" borderId="204" xfId="0" applyNumberFormat="1" applyFont="1" applyBorder="1" applyAlignment="1" applyProtection="1">
      <alignment horizontal="center" vertical="center"/>
      <protection hidden="1"/>
    </xf>
    <xf numFmtId="166" fontId="5" fillId="0" borderId="204" xfId="0" applyNumberFormat="1" applyFont="1" applyBorder="1" applyAlignment="1" applyProtection="1">
      <alignment horizontal="center" vertical="center"/>
      <protection hidden="1"/>
    </xf>
    <xf numFmtId="3" fontId="2" fillId="0" borderId="204" xfId="0" applyNumberFormat="1" applyFont="1" applyBorder="1" applyAlignment="1" applyProtection="1">
      <alignment horizontal="center" vertical="center"/>
      <protection hidden="1"/>
    </xf>
    <xf numFmtId="166" fontId="2" fillId="0" borderId="204" xfId="0" applyNumberFormat="1" applyFont="1" applyBorder="1" applyAlignment="1" applyProtection="1">
      <alignment horizontal="center" vertical="center"/>
      <protection hidden="1"/>
    </xf>
    <xf numFmtId="0" fontId="5" fillId="0" borderId="207" xfId="0" applyFont="1" applyBorder="1" applyAlignment="1" applyProtection="1">
      <alignment vertical="center"/>
      <protection hidden="1"/>
    </xf>
    <xf numFmtId="0" fontId="5" fillId="0" borderId="211" xfId="0" applyFont="1" applyBorder="1" applyAlignment="1">
      <alignment vertical="center"/>
    </xf>
    <xf numFmtId="0" fontId="0" fillId="0" borderId="211" xfId="0" applyBorder="1" applyAlignment="1">
      <alignment vertical="center"/>
    </xf>
    <xf numFmtId="0" fontId="5" fillId="0" borderId="210" xfId="0" applyFont="1" applyBorder="1" applyAlignment="1">
      <alignment horizontal="right" vertical="center"/>
    </xf>
    <xf numFmtId="3" fontId="5" fillId="0" borderId="211" xfId="0" applyNumberFormat="1" applyFont="1" applyBorder="1" applyAlignment="1">
      <alignment horizontal="right" vertical="center"/>
    </xf>
    <xf numFmtId="0" fontId="2" fillId="0" borderId="212" xfId="0" applyFont="1" applyBorder="1" applyAlignment="1" applyProtection="1">
      <alignment vertical="center"/>
      <protection hidden="1"/>
    </xf>
    <xf numFmtId="3" fontId="2" fillId="0" borderId="212" xfId="0" applyNumberFormat="1" applyFont="1" applyBorder="1" applyAlignment="1" applyProtection="1">
      <alignment horizontal="center" vertical="center"/>
      <protection hidden="1"/>
    </xf>
    <xf numFmtId="3" fontId="2" fillId="6" borderId="180" xfId="0" applyNumberFormat="1" applyFont="1" applyFill="1" applyBorder="1" applyAlignment="1" applyProtection="1">
      <alignment horizontal="center" vertical="center"/>
      <protection hidden="1"/>
    </xf>
    <xf numFmtId="167" fontId="2" fillId="0" borderId="213" xfId="0" applyNumberFormat="1" applyFont="1" applyBorder="1" applyAlignment="1" applyProtection="1">
      <alignment horizontal="center" vertical="center"/>
      <protection hidden="1"/>
    </xf>
    <xf numFmtId="0" fontId="2" fillId="0" borderId="214" xfId="0" applyFont="1" applyBorder="1" applyAlignment="1" applyProtection="1">
      <alignment vertical="center"/>
      <protection hidden="1"/>
    </xf>
    <xf numFmtId="0" fontId="2" fillId="6" borderId="214" xfId="0" applyFont="1" applyFill="1" applyBorder="1" applyAlignment="1" applyProtection="1">
      <alignment horizontal="center" vertical="center"/>
      <protection hidden="1"/>
    </xf>
    <xf numFmtId="164" fontId="2" fillId="6" borderId="214" xfId="0" applyNumberFormat="1" applyFont="1" applyFill="1" applyBorder="1" applyAlignment="1" applyProtection="1">
      <alignment horizontal="center" vertical="center"/>
      <protection hidden="1"/>
    </xf>
    <xf numFmtId="167" fontId="2" fillId="0" borderId="215" xfId="0" applyNumberFormat="1" applyFont="1" applyBorder="1" applyAlignment="1" applyProtection="1">
      <alignment horizontal="center" vertical="center"/>
      <protection hidden="1"/>
    </xf>
    <xf numFmtId="0" fontId="10" fillId="0" borderId="23" xfId="0" applyFont="1" applyBorder="1" applyAlignment="1">
      <alignment horizontal="left" vertical="center"/>
    </xf>
    <xf numFmtId="0" fontId="26" fillId="7" borderId="20" xfId="0" applyFont="1" applyFill="1" applyBorder="1" applyAlignment="1" applyProtection="1">
      <alignment horizontal="left" vertical="center"/>
      <protection locked="0"/>
    </xf>
    <xf numFmtId="0" fontId="26" fillId="7" borderId="10" xfId="0" applyFont="1" applyFill="1" applyBorder="1" applyAlignment="1" applyProtection="1">
      <alignment horizontal="left" vertical="center"/>
      <protection locked="0"/>
    </xf>
    <xf numFmtId="0" fontId="59" fillId="0" borderId="20" xfId="0" applyFont="1" applyBorder="1" applyAlignment="1">
      <alignment horizontal="left"/>
    </xf>
    <xf numFmtId="0" fontId="59" fillId="0" borderId="10" xfId="0" applyFont="1" applyBorder="1" applyAlignment="1">
      <alignment horizontal="left"/>
    </xf>
    <xf numFmtId="0" fontId="10" fillId="0" borderId="10" xfId="0" applyFont="1" applyBorder="1" applyAlignment="1">
      <alignment horizontal="left" vertical="center"/>
    </xf>
    <xf numFmtId="16" fontId="10" fillId="0" borderId="20" xfId="0" quotePrefix="1" applyNumberFormat="1" applyFont="1" applyBorder="1" applyAlignment="1">
      <alignment horizontal="left" vertical="center"/>
    </xf>
    <xf numFmtId="17" fontId="26" fillId="0" borderId="48" xfId="0" applyNumberFormat="1" applyFont="1" applyBorder="1" applyAlignment="1">
      <alignment horizontal="center" vertical="center"/>
    </xf>
    <xf numFmtId="20" fontId="4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0" xfId="0" applyFont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9" fillId="0" borderId="31" xfId="0" applyFont="1" applyBorder="1" applyAlignment="1" applyProtection="1">
      <alignment vertical="center"/>
      <protection hidden="1"/>
    </xf>
    <xf numFmtId="0" fontId="77" fillId="0" borderId="0" xfId="0" applyFont="1" applyAlignment="1" applyProtection="1">
      <alignment vertical="center"/>
      <protection hidden="1"/>
    </xf>
    <xf numFmtId="0" fontId="55" fillId="0" borderId="25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76" fillId="0" borderId="23" xfId="0" applyFont="1" applyBorder="1" applyAlignment="1">
      <alignment vertical="center"/>
    </xf>
    <xf numFmtId="0" fontId="3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3" fillId="0" borderId="7" xfId="0" applyFont="1" applyBorder="1"/>
    <xf numFmtId="0" fontId="3" fillId="0" borderId="8" xfId="0" applyFont="1" applyBorder="1"/>
    <xf numFmtId="0" fontId="10" fillId="0" borderId="25" xfId="0" applyFont="1" applyBorder="1" applyAlignment="1" applyProtection="1">
      <alignment vertical="center"/>
      <protection hidden="1"/>
    </xf>
    <xf numFmtId="0" fontId="10" fillId="0" borderId="18" xfId="0" applyFont="1" applyBorder="1" applyAlignment="1" applyProtection="1">
      <alignment vertical="center"/>
      <protection locked="0"/>
    </xf>
    <xf numFmtId="0" fontId="3" fillId="0" borderId="18" xfId="0" applyFont="1" applyBorder="1" applyAlignment="1" applyProtection="1">
      <alignment horizontal="left" vertical="center"/>
      <protection hidden="1"/>
    </xf>
    <xf numFmtId="0" fontId="3" fillId="0" borderId="7" xfId="0" applyFont="1" applyBorder="1" applyAlignment="1" applyProtection="1">
      <alignment horizontal="left" vertical="center"/>
      <protection hidden="1"/>
    </xf>
    <xf numFmtId="0" fontId="3" fillId="0" borderId="8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" fillId="0" borderId="31" xfId="0" applyFont="1" applyBorder="1" applyAlignment="1" applyProtection="1">
      <alignment horizontal="left" vertical="center"/>
      <protection hidden="1"/>
    </xf>
    <xf numFmtId="0" fontId="3" fillId="0" borderId="25" xfId="0" applyFont="1" applyBorder="1" applyAlignment="1" applyProtection="1">
      <alignment horizontal="left" vertical="center"/>
      <protection hidden="1"/>
    </xf>
    <xf numFmtId="0" fontId="33" fillId="0" borderId="25" xfId="0" applyFont="1" applyBorder="1" applyAlignment="1" applyProtection="1">
      <alignment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37" fillId="0" borderId="25" xfId="0" applyFont="1" applyBorder="1" applyAlignment="1" applyProtection="1">
      <alignment horizontal="left" vertical="center"/>
      <protection hidden="1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0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0" fillId="0" borderId="60" xfId="0" applyFont="1" applyBorder="1" applyAlignment="1">
      <alignment vertical="center"/>
    </xf>
    <xf numFmtId="0" fontId="10" fillId="0" borderId="56" xfId="0" applyFont="1" applyBorder="1" applyAlignment="1" applyProtection="1">
      <alignment vertical="center"/>
      <protection locked="0"/>
    </xf>
    <xf numFmtId="0" fontId="10" fillId="0" borderId="9" xfId="0" applyFont="1" applyBorder="1" applyAlignment="1" applyProtection="1">
      <alignment vertical="center"/>
      <protection locked="0"/>
    </xf>
    <xf numFmtId="0" fontId="37" fillId="0" borderId="25" xfId="0" applyFont="1" applyBorder="1" applyAlignment="1">
      <alignment vertical="center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2" fillId="0" borderId="43" xfId="0" applyFont="1" applyBorder="1" applyAlignment="1">
      <alignment horizontal="center" vertical="center"/>
    </xf>
    <xf numFmtId="167" fontId="5" fillId="0" borderId="153" xfId="0" applyNumberFormat="1" applyFont="1" applyBorder="1" applyAlignment="1" applyProtection="1">
      <alignment horizontal="center" vertical="center"/>
      <protection hidden="1"/>
    </xf>
    <xf numFmtId="0" fontId="26" fillId="7" borderId="90" xfId="0" applyFont="1" applyFill="1" applyBorder="1" applyAlignment="1" applyProtection="1">
      <alignment vertical="center"/>
      <protection locked="0"/>
    </xf>
    <xf numFmtId="0" fontId="26" fillId="7" borderId="91" xfId="0" applyFont="1" applyFill="1" applyBorder="1" applyAlignment="1" applyProtection="1">
      <alignment vertical="center"/>
      <protection locked="0"/>
    </xf>
    <xf numFmtId="0" fontId="9" fillId="0" borderId="126" xfId="0" applyFont="1" applyBorder="1" applyAlignment="1" applyProtection="1">
      <alignment vertical="center"/>
      <protection hidden="1"/>
    </xf>
    <xf numFmtId="0" fontId="9" fillId="0" borderId="127" xfId="0" applyFont="1" applyBorder="1" applyAlignment="1" applyProtection="1">
      <alignment vertical="center"/>
      <protection hidden="1"/>
    </xf>
    <xf numFmtId="16" fontId="10" fillId="0" borderId="10" xfId="0" quotePrefix="1" applyNumberFormat="1" applyFont="1" applyBorder="1" applyAlignment="1">
      <alignment horizontal="left" vertical="center"/>
    </xf>
    <xf numFmtId="0" fontId="10" fillId="0" borderId="217" xfId="0" applyFont="1" applyBorder="1" applyAlignment="1">
      <alignment horizontal="left" vertical="center"/>
    </xf>
    <xf numFmtId="0" fontId="10" fillId="0" borderId="218" xfId="0" applyFont="1" applyBorder="1" applyAlignment="1">
      <alignment horizontal="left" vertical="center"/>
    </xf>
    <xf numFmtId="0" fontId="10" fillId="0" borderId="90" xfId="0" applyFont="1" applyBorder="1" applyAlignment="1">
      <alignment horizontal="left" vertical="center"/>
    </xf>
    <xf numFmtId="0" fontId="10" fillId="0" borderId="91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9" fillId="0" borderId="128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167" fontId="5" fillId="3" borderId="140" xfId="0" applyNumberFormat="1" applyFont="1" applyFill="1" applyBorder="1" applyAlignment="1" applyProtection="1">
      <alignment horizontal="center" vertical="center"/>
      <protection hidden="1"/>
    </xf>
    <xf numFmtId="1" fontId="5" fillId="3" borderId="140" xfId="0" applyNumberFormat="1" applyFont="1" applyFill="1" applyBorder="1" applyAlignment="1" applyProtection="1">
      <alignment horizontal="center" vertical="center"/>
      <protection hidden="1"/>
    </xf>
    <xf numFmtId="166" fontId="5" fillId="3" borderId="140" xfId="0" applyNumberFormat="1" applyFont="1" applyFill="1" applyBorder="1" applyAlignment="1" applyProtection="1">
      <alignment horizontal="center" vertical="center"/>
      <protection hidden="1"/>
    </xf>
    <xf numFmtId="3" fontId="5" fillId="3" borderId="140" xfId="0" applyNumberFormat="1" applyFont="1" applyFill="1" applyBorder="1" applyAlignment="1" applyProtection="1">
      <alignment horizontal="center" vertical="center"/>
      <protection hidden="1"/>
    </xf>
    <xf numFmtId="0" fontId="2" fillId="0" borderId="219" xfId="0" applyFont="1" applyBorder="1" applyAlignment="1" applyProtection="1">
      <alignment horizontal="center" vertical="center"/>
      <protection hidden="1"/>
    </xf>
    <xf numFmtId="0" fontId="2" fillId="0" borderId="220" xfId="0" applyFont="1" applyBorder="1" applyAlignment="1" applyProtection="1">
      <alignment horizontal="center" vertical="center"/>
      <protection hidden="1"/>
    </xf>
    <xf numFmtId="167" fontId="5" fillId="0" borderId="221" xfId="0" applyNumberFormat="1" applyFont="1" applyBorder="1" applyAlignment="1" applyProtection="1">
      <alignment horizontal="center" vertical="center"/>
      <protection hidden="1"/>
    </xf>
    <xf numFmtId="166" fontId="5" fillId="0" borderId="222" xfId="0" applyNumberFormat="1" applyFont="1" applyBorder="1" applyAlignment="1" applyProtection="1">
      <alignment horizontal="center" vertical="center"/>
      <protection hidden="1"/>
    </xf>
    <xf numFmtId="167" fontId="5" fillId="0" borderId="146" xfId="0" applyNumberFormat="1" applyFont="1" applyBorder="1" applyAlignment="1" applyProtection="1">
      <alignment horizontal="center" vertical="center"/>
      <protection hidden="1"/>
    </xf>
    <xf numFmtId="167" fontId="5" fillId="0" borderId="222" xfId="0" applyNumberFormat="1" applyFont="1" applyBorder="1" applyAlignment="1" applyProtection="1">
      <alignment horizontal="center" vertical="center"/>
      <protection hidden="1"/>
    </xf>
    <xf numFmtId="166" fontId="5" fillId="0" borderId="222" xfId="2" applyNumberFormat="1" applyFont="1" applyFill="1" applyBorder="1" applyAlignment="1" applyProtection="1">
      <alignment horizontal="center" vertical="center"/>
      <protection hidden="1"/>
    </xf>
    <xf numFmtId="3" fontId="5" fillId="0" borderId="146" xfId="0" applyNumberFormat="1" applyFont="1" applyBorder="1" applyAlignment="1" applyProtection="1">
      <alignment horizontal="center" vertical="center"/>
      <protection hidden="1"/>
    </xf>
    <xf numFmtId="3" fontId="5" fillId="0" borderId="223" xfId="0" applyNumberFormat="1" applyFont="1" applyBorder="1" applyAlignment="1" applyProtection="1">
      <alignment horizontal="center" vertical="center"/>
      <protection hidden="1"/>
    </xf>
    <xf numFmtId="3" fontId="2" fillId="0" borderId="224" xfId="0" applyNumberFormat="1" applyFont="1" applyBorder="1" applyAlignment="1" applyProtection="1">
      <alignment horizontal="center" vertical="center"/>
      <protection hidden="1"/>
    </xf>
    <xf numFmtId="3" fontId="5" fillId="0" borderId="227" xfId="0" applyNumberFormat="1" applyFont="1" applyBorder="1" applyAlignment="1" applyProtection="1">
      <alignment horizontal="center" vertical="center"/>
      <protection hidden="1"/>
    </xf>
    <xf numFmtId="166" fontId="5" fillId="0" borderId="228" xfId="0" applyNumberFormat="1" applyFont="1" applyBorder="1" applyAlignment="1" applyProtection="1">
      <alignment horizontal="center" vertical="center"/>
      <protection hidden="1"/>
    </xf>
    <xf numFmtId="3" fontId="5" fillId="0" borderId="229" xfId="0" applyNumberFormat="1" applyFont="1" applyBorder="1" applyAlignment="1" applyProtection="1">
      <alignment horizontal="center" vertical="center"/>
      <protection hidden="1"/>
    </xf>
    <xf numFmtId="166" fontId="5" fillId="0" borderId="230" xfId="0" applyNumberFormat="1" applyFont="1" applyBorder="1" applyAlignment="1" applyProtection="1">
      <alignment horizontal="center" vertical="center"/>
      <protection hidden="1"/>
    </xf>
    <xf numFmtId="3" fontId="2" fillId="0" borderId="231" xfId="0" applyNumberFormat="1" applyFont="1" applyBorder="1" applyAlignment="1" applyProtection="1">
      <alignment horizontal="center" vertical="center"/>
      <protection hidden="1"/>
    </xf>
    <xf numFmtId="167" fontId="5" fillId="0" borderId="232" xfId="0" applyNumberFormat="1" applyFont="1" applyBorder="1" applyAlignment="1" applyProtection="1">
      <alignment horizontal="center" vertical="center"/>
      <protection hidden="1"/>
    </xf>
    <xf numFmtId="167" fontId="2" fillId="0" borderId="233" xfId="0" applyNumberFormat="1" applyFont="1" applyBorder="1" applyAlignment="1" applyProtection="1">
      <alignment horizontal="center" vertical="center"/>
      <protection hidden="1"/>
    </xf>
    <xf numFmtId="167" fontId="2" fillId="0" borderId="142" xfId="0" applyNumberFormat="1" applyFont="1" applyBorder="1" applyAlignment="1" applyProtection="1">
      <alignment horizontal="center" vertical="center"/>
      <protection hidden="1"/>
    </xf>
    <xf numFmtId="167" fontId="2" fillId="0" borderId="153" xfId="0" applyNumberFormat="1" applyFont="1" applyBorder="1" applyAlignment="1" applyProtection="1">
      <alignment horizontal="center" vertical="center"/>
      <protection hidden="1"/>
    </xf>
    <xf numFmtId="167" fontId="2" fillId="0" borderId="234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36" xfId="0" applyNumberFormat="1" applyFont="1" applyFill="1" applyBorder="1" applyAlignment="1" applyProtection="1">
      <alignment horizontal="center" vertical="center"/>
      <protection hidden="1"/>
    </xf>
    <xf numFmtId="167" fontId="5" fillId="0" borderId="228" xfId="0" applyNumberFormat="1" applyFont="1" applyBorder="1" applyAlignment="1" applyProtection="1">
      <alignment horizontal="center" vertical="center"/>
      <protection hidden="1"/>
    </xf>
    <xf numFmtId="167" fontId="5" fillId="0" borderId="230" xfId="0" applyNumberFormat="1" applyFont="1" applyBorder="1" applyAlignment="1" applyProtection="1">
      <alignment horizontal="center" vertical="center"/>
      <protection hidden="1"/>
    </xf>
    <xf numFmtId="167" fontId="2" fillId="0" borderId="237" xfId="0" applyNumberFormat="1" applyFont="1" applyBorder="1" applyAlignment="1" applyProtection="1">
      <alignment horizontal="center" vertical="center"/>
      <protection hidden="1"/>
    </xf>
    <xf numFmtId="3" fontId="2" fillId="6" borderId="225" xfId="0" applyNumberFormat="1" applyFont="1" applyFill="1" applyBorder="1" applyAlignment="1" applyProtection="1">
      <alignment horizontal="center" vertical="center"/>
      <protection hidden="1"/>
    </xf>
    <xf numFmtId="167" fontId="2" fillId="0" borderId="238" xfId="0" applyNumberFormat="1" applyFont="1" applyBorder="1" applyAlignment="1" applyProtection="1">
      <alignment horizontal="center" vertical="center"/>
      <protection hidden="1"/>
    </xf>
    <xf numFmtId="167" fontId="2" fillId="0" borderId="228" xfId="0" applyNumberFormat="1" applyFont="1" applyBorder="1" applyAlignment="1" applyProtection="1">
      <alignment horizontal="center" vertical="center"/>
      <protection hidden="1"/>
    </xf>
    <xf numFmtId="3" fontId="2" fillId="6" borderId="239" xfId="0" applyNumberFormat="1" applyFont="1" applyFill="1" applyBorder="1" applyAlignment="1" applyProtection="1">
      <alignment horizontal="center" vertical="center"/>
      <protection hidden="1"/>
    </xf>
    <xf numFmtId="167" fontId="2" fillId="0" borderId="240" xfId="0" applyNumberFormat="1" applyFont="1" applyBorder="1" applyAlignment="1" applyProtection="1">
      <alignment horizontal="center"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6" fontId="5" fillId="0" borderId="153" xfId="0" applyNumberFormat="1" applyFont="1" applyBorder="1" applyAlignment="1" applyProtection="1">
      <alignment horizontal="center" vertical="center"/>
      <protection hidden="1"/>
    </xf>
    <xf numFmtId="166" fontId="5" fillId="0" borderId="232" xfId="0" applyNumberFormat="1" applyFont="1" applyBorder="1" applyAlignment="1" applyProtection="1">
      <alignment horizontal="center" vertical="center"/>
      <protection hidden="1"/>
    </xf>
    <xf numFmtId="0" fontId="84" fillId="13" borderId="153" xfId="0" applyFont="1" applyFill="1" applyBorder="1" applyAlignment="1">
      <alignment horizontal="left" vertical="center" indent="1"/>
    </xf>
    <xf numFmtId="3" fontId="2" fillId="0" borderId="241" xfId="0" applyNumberFormat="1" applyFont="1" applyBorder="1" applyAlignment="1" applyProtection="1">
      <alignment horizontal="center" vertical="center"/>
      <protection hidden="1"/>
    </xf>
    <xf numFmtId="0" fontId="2" fillId="6" borderId="242" xfId="0" applyFont="1" applyFill="1" applyBorder="1" applyAlignment="1" applyProtection="1">
      <alignment vertical="center"/>
      <protection hidden="1"/>
    </xf>
    <xf numFmtId="0" fontId="2" fillId="6" borderId="243" xfId="0" applyFont="1" applyFill="1" applyBorder="1" applyAlignment="1" applyProtection="1">
      <alignment vertical="center"/>
      <protection hidden="1"/>
    </xf>
    <xf numFmtId="167" fontId="2" fillId="0" borderId="241" xfId="0" applyNumberFormat="1" applyFont="1" applyBorder="1" applyAlignment="1" applyProtection="1">
      <alignment horizontal="center" vertical="center"/>
      <protection hidden="1"/>
    </xf>
    <xf numFmtId="167" fontId="2" fillId="0" borderId="242" xfId="0" applyNumberFormat="1" applyFont="1" applyBorder="1" applyAlignment="1" applyProtection="1">
      <alignment horizontal="center" vertical="center"/>
      <protection hidden="1"/>
    </xf>
    <xf numFmtId="167" fontId="2" fillId="0" borderId="243" xfId="0" applyNumberFormat="1" applyFont="1" applyBorder="1" applyAlignment="1" applyProtection="1">
      <alignment horizontal="center" vertical="center"/>
      <protection hidden="1"/>
    </xf>
    <xf numFmtId="3" fontId="2" fillId="0" borderId="210" xfId="0" applyNumberFormat="1" applyFont="1" applyBorder="1" applyAlignment="1" applyProtection="1">
      <alignment horizontal="center" vertical="center"/>
      <protection hidden="1"/>
    </xf>
    <xf numFmtId="167" fontId="2" fillId="0" borderId="244" xfId="0" applyNumberFormat="1" applyFont="1" applyBorder="1" applyAlignment="1" applyProtection="1">
      <alignment horizontal="center" vertical="center"/>
      <protection hidden="1"/>
    </xf>
    <xf numFmtId="0" fontId="2" fillId="8" borderId="139" xfId="0" applyFont="1" applyFill="1" applyBorder="1" applyAlignment="1" applyProtection="1">
      <alignment vertical="center"/>
      <protection hidden="1"/>
    </xf>
    <xf numFmtId="167" fontId="2" fillId="8" borderId="245" xfId="0" applyNumberFormat="1" applyFont="1" applyFill="1" applyBorder="1" applyAlignment="1" applyProtection="1">
      <alignment horizontal="center" vertical="center"/>
      <protection hidden="1"/>
    </xf>
    <xf numFmtId="0" fontId="2" fillId="6" borderId="163" xfId="0" applyFont="1" applyFill="1" applyBorder="1" applyAlignment="1" applyProtection="1">
      <alignment horizontal="center" vertical="center"/>
      <protection hidden="1"/>
    </xf>
    <xf numFmtId="0" fontId="2" fillId="6" borderId="246" xfId="0" applyFont="1" applyFill="1" applyBorder="1" applyAlignment="1" applyProtection="1">
      <alignment horizontal="center" vertical="center"/>
      <protection hidden="1"/>
    </xf>
    <xf numFmtId="167" fontId="2" fillId="8" borderId="145" xfId="0" applyNumberFormat="1" applyFont="1" applyFill="1" applyBorder="1" applyAlignment="1" applyProtection="1">
      <alignment horizontal="center" vertical="center"/>
      <protection hidden="1"/>
    </xf>
    <xf numFmtId="167" fontId="2" fillId="8" borderId="163" xfId="0" applyNumberFormat="1" applyFont="1" applyFill="1" applyBorder="1" applyAlignment="1" applyProtection="1">
      <alignment horizontal="center" vertical="center"/>
      <protection hidden="1"/>
    </xf>
    <xf numFmtId="167" fontId="2" fillId="8" borderId="142" xfId="0" applyNumberFormat="1" applyFont="1" applyFill="1" applyBorder="1" applyAlignment="1" applyProtection="1">
      <alignment horizontal="center" vertical="center"/>
      <protection hidden="1"/>
    </xf>
    <xf numFmtId="167" fontId="2" fillId="8" borderId="246" xfId="0" applyNumberFormat="1" applyFont="1" applyFill="1" applyBorder="1" applyAlignment="1" applyProtection="1">
      <alignment horizontal="center" vertical="center"/>
      <protection hidden="1"/>
    </xf>
    <xf numFmtId="0" fontId="5" fillId="0" borderId="164" xfId="0" applyFont="1" applyBorder="1" applyAlignment="1" applyProtection="1">
      <alignment horizontal="left" vertical="center"/>
      <protection hidden="1"/>
    </xf>
    <xf numFmtId="167" fontId="5" fillId="0" borderId="247" xfId="0" applyNumberFormat="1" applyFont="1" applyBorder="1" applyAlignment="1" applyProtection="1">
      <alignment horizontal="center" vertical="center"/>
      <protection hidden="1"/>
    </xf>
    <xf numFmtId="166" fontId="5" fillId="0" borderId="248" xfId="2" applyNumberFormat="1" applyFont="1" applyFill="1" applyBorder="1" applyAlignment="1" applyProtection="1">
      <alignment horizontal="center" vertical="center"/>
      <protection hidden="1"/>
    </xf>
    <xf numFmtId="167" fontId="5" fillId="0" borderId="223" xfId="0" applyNumberFormat="1" applyFont="1" applyBorder="1" applyAlignment="1" applyProtection="1">
      <alignment horizontal="center" vertical="center"/>
      <protection hidden="1"/>
    </xf>
    <xf numFmtId="167" fontId="5" fillId="0" borderId="248" xfId="0" applyNumberFormat="1" applyFont="1" applyBorder="1" applyAlignment="1" applyProtection="1">
      <alignment horizontal="center" vertical="center"/>
      <protection hidden="1"/>
    </xf>
    <xf numFmtId="166" fontId="5" fillId="0" borderId="248" xfId="0" applyNumberFormat="1" applyFont="1" applyBorder="1" applyAlignment="1" applyProtection="1">
      <alignment horizontal="center" vertical="center"/>
      <protection hidden="1"/>
    </xf>
    <xf numFmtId="3" fontId="2" fillId="0" borderId="249" xfId="0" applyNumberFormat="1" applyFont="1" applyBorder="1" applyAlignment="1" applyProtection="1">
      <alignment horizontal="center" vertical="center"/>
      <protection hidden="1"/>
    </xf>
    <xf numFmtId="0" fontId="2" fillId="6" borderId="238" xfId="0" applyFont="1" applyFill="1" applyBorder="1" applyAlignment="1" applyProtection="1">
      <alignment horizontal="center" vertical="center"/>
      <protection hidden="1"/>
    </xf>
    <xf numFmtId="0" fontId="2" fillId="0" borderId="226" xfId="0" applyFont="1" applyBorder="1" applyAlignment="1">
      <alignment horizontal="center"/>
    </xf>
    <xf numFmtId="3" fontId="2" fillId="0" borderId="227" xfId="0" applyNumberFormat="1" applyFont="1" applyBorder="1" applyAlignment="1" applyProtection="1">
      <alignment horizontal="center" vertical="center"/>
      <protection hidden="1"/>
    </xf>
    <xf numFmtId="166" fontId="2" fillId="0" borderId="228" xfId="2" applyNumberFormat="1" applyFont="1" applyFill="1" applyBorder="1" applyAlignment="1" applyProtection="1">
      <alignment horizontal="center" vertical="center"/>
      <protection hidden="1"/>
    </xf>
    <xf numFmtId="0" fontId="66" fillId="3" borderId="139" xfId="0" applyFont="1" applyFill="1" applyBorder="1" applyAlignment="1" applyProtection="1">
      <alignment horizontal="center" vertical="center" wrapText="1"/>
      <protection hidden="1"/>
    </xf>
    <xf numFmtId="3" fontId="2" fillId="0" borderId="118" xfId="0" applyNumberFormat="1" applyFont="1" applyBorder="1" applyAlignment="1" applyProtection="1">
      <alignment horizontal="center" vertical="center"/>
      <protection hidden="1"/>
    </xf>
    <xf numFmtId="3" fontId="5" fillId="7" borderId="44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17" fillId="0" borderId="31" xfId="0" applyFont="1" applyBorder="1"/>
    <xf numFmtId="0" fontId="7" fillId="0" borderId="25" xfId="0" applyFont="1" applyBorder="1" applyAlignment="1">
      <alignment vertical="center"/>
    </xf>
    <xf numFmtId="0" fontId="7" fillId="0" borderId="7" xfId="0" applyFont="1" applyBorder="1" applyAlignment="1">
      <alignment horizontal="left"/>
    </xf>
    <xf numFmtId="0" fontId="9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167" fontId="10" fillId="5" borderId="17" xfId="0" applyNumberFormat="1" applyFont="1" applyFill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1" fontId="4" fillId="7" borderId="32" xfId="0" applyNumberFormat="1" applyFont="1" applyFill="1" applyBorder="1" applyAlignment="1" applyProtection="1">
      <alignment horizontal="center" vertical="center"/>
      <protection locked="0"/>
    </xf>
    <xf numFmtId="1" fontId="4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0" fillId="0" borderId="61" xfId="0" applyNumberFormat="1" applyFont="1" applyBorder="1" applyAlignment="1" applyProtection="1">
      <alignment horizontal="right"/>
      <protection hidden="1"/>
    </xf>
    <xf numFmtId="0" fontId="10" fillId="0" borderId="23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167" fontId="10" fillId="0" borderId="19" xfId="0" applyNumberFormat="1" applyFont="1" applyBorder="1" applyAlignment="1" applyProtection="1">
      <alignment horizontal="center"/>
      <protection hidden="1"/>
    </xf>
    <xf numFmtId="167" fontId="10" fillId="0" borderId="61" xfId="0" applyNumberFormat="1" applyFont="1" applyBorder="1" applyAlignment="1" applyProtection="1">
      <alignment horizontal="center"/>
      <protection hidden="1"/>
    </xf>
    <xf numFmtId="0" fontId="1" fillId="0" borderId="20" xfId="0" applyFont="1" applyBorder="1" applyAlignment="1">
      <alignment horizontal="center"/>
    </xf>
    <xf numFmtId="3" fontId="4" fillId="0" borderId="17" xfId="0" applyNumberFormat="1" applyFont="1" applyBorder="1" applyAlignment="1" applyProtection="1">
      <alignment horizontal="center"/>
      <protection hidden="1"/>
    </xf>
    <xf numFmtId="0" fontId="10" fillId="0" borderId="61" xfId="0" applyFont="1" applyBorder="1" applyAlignment="1" applyProtection="1">
      <alignment vertical="center"/>
      <protection hidden="1"/>
    </xf>
    <xf numFmtId="167" fontId="10" fillId="0" borderId="61" xfId="0" applyNumberFormat="1" applyFont="1" applyBorder="1" applyAlignment="1" applyProtection="1">
      <alignment horizontal="right" vertical="center"/>
      <protection hidden="1"/>
    </xf>
    <xf numFmtId="0" fontId="4" fillId="0" borderId="17" xfId="0" applyFont="1" applyBorder="1" applyAlignment="1" applyProtection="1">
      <alignment horizontal="center" vertical="center"/>
      <protection hidden="1"/>
    </xf>
    <xf numFmtId="49" fontId="4" fillId="0" borderId="23" xfId="0" applyNumberFormat="1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center" vertical="center"/>
    </xf>
    <xf numFmtId="0" fontId="9" fillId="0" borderId="10" xfId="0" applyFont="1" applyBorder="1" applyAlignment="1">
      <alignment vertical="center"/>
    </xf>
    <xf numFmtId="0" fontId="10" fillId="0" borderId="68" xfId="0" applyFont="1" applyBorder="1" applyAlignment="1">
      <alignment vertical="center"/>
    </xf>
    <xf numFmtId="0" fontId="10" fillId="13" borderId="64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0" fillId="0" borderId="251" xfId="0" applyFont="1" applyBorder="1" applyAlignment="1" applyProtection="1">
      <alignment horizontal="center" vertical="center"/>
      <protection hidden="1"/>
    </xf>
    <xf numFmtId="1" fontId="9" fillId="5" borderId="32" xfId="0" applyNumberFormat="1" applyFont="1" applyFill="1" applyBorder="1" applyAlignment="1" applyProtection="1">
      <alignment horizontal="center" vertical="center"/>
      <protection hidden="1"/>
    </xf>
    <xf numFmtId="0" fontId="10" fillId="0" borderId="252" xfId="0" applyFont="1" applyBorder="1" applyAlignment="1" applyProtection="1">
      <alignment horizontal="center" vertical="center"/>
      <protection hidden="1"/>
    </xf>
    <xf numFmtId="166" fontId="10" fillId="5" borderId="17" xfId="0" applyNumberFormat="1" applyFont="1" applyFill="1" applyBorder="1" applyAlignment="1" applyProtection="1">
      <alignment horizontal="center" vertical="center"/>
      <protection hidden="1"/>
    </xf>
    <xf numFmtId="166" fontId="10" fillId="0" borderId="17" xfId="0" applyNumberFormat="1" applyFont="1" applyBorder="1" applyAlignment="1" applyProtection="1">
      <alignment horizontal="center" vertical="center"/>
      <protection hidden="1"/>
    </xf>
    <xf numFmtId="166" fontId="10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horizontal="left" vertical="center"/>
      <protection hidden="1"/>
    </xf>
    <xf numFmtId="0" fontId="9" fillId="0" borderId="70" xfId="0" applyFont="1" applyBorder="1" applyAlignment="1" applyProtection="1">
      <alignment horizontal="left" vertical="center"/>
      <protection hidden="1"/>
    </xf>
    <xf numFmtId="0" fontId="2" fillId="0" borderId="14" xfId="0" applyFont="1" applyBorder="1" applyAlignment="1">
      <alignment vertical="center"/>
    </xf>
    <xf numFmtId="0" fontId="2" fillId="0" borderId="110" xfId="0" applyFont="1" applyBorder="1" applyAlignment="1">
      <alignment vertical="center"/>
    </xf>
    <xf numFmtId="0" fontId="2" fillId="0" borderId="87" xfId="0" applyFont="1" applyBorder="1" applyAlignment="1">
      <alignment vertical="center"/>
    </xf>
    <xf numFmtId="0" fontId="2" fillId="0" borderId="63" xfId="0" applyFont="1" applyBorder="1" applyAlignment="1">
      <alignment horizontal="center" vertical="center"/>
    </xf>
    <xf numFmtId="0" fontId="5" fillId="7" borderId="32" xfId="0" applyFont="1" applyFill="1" applyBorder="1" applyAlignment="1" applyProtection="1">
      <alignment horizontal="left" vertical="center"/>
      <protection locked="0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3" fontId="2" fillId="0" borderId="17" xfId="0" applyNumberFormat="1" applyFont="1" applyBorder="1" applyAlignment="1" applyProtection="1">
      <alignment horizontal="center" vertical="center"/>
      <protection hidden="1"/>
    </xf>
    <xf numFmtId="0" fontId="5" fillId="7" borderId="85" xfId="0" applyFont="1" applyFill="1" applyBorder="1" applyAlignment="1" applyProtection="1">
      <alignment horizontal="left" vertical="center"/>
      <protection locked="0"/>
    </xf>
    <xf numFmtId="3" fontId="5" fillId="0" borderId="85" xfId="0" applyNumberFormat="1" applyFont="1" applyBorder="1" applyAlignment="1" applyProtection="1">
      <alignment horizontal="center" vertical="center"/>
      <protection hidden="1"/>
    </xf>
    <xf numFmtId="0" fontId="2" fillId="0" borderId="118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84" fillId="13" borderId="61" xfId="0" applyFont="1" applyFill="1" applyBorder="1" applyAlignment="1">
      <alignment horizontal="center" vertical="center"/>
    </xf>
    <xf numFmtId="0" fontId="84" fillId="13" borderId="50" xfId="0" applyFont="1" applyFill="1" applyBorder="1" applyAlignment="1">
      <alignment horizontal="left" vertical="center"/>
    </xf>
    <xf numFmtId="0" fontId="84" fillId="13" borderId="250" xfId="0" applyFont="1" applyFill="1" applyBorder="1" applyAlignment="1">
      <alignment horizontal="center" vertical="center"/>
    </xf>
    <xf numFmtId="0" fontId="5" fillId="7" borderId="61" xfId="0" applyFont="1" applyFill="1" applyBorder="1" applyAlignment="1" applyProtection="1">
      <alignment horizontal="left" vertical="center"/>
      <protection locked="0"/>
    </xf>
    <xf numFmtId="3" fontId="5" fillId="7" borderId="0" xfId="0" applyNumberFormat="1" applyFont="1" applyFill="1" applyAlignment="1" applyProtection="1">
      <alignment horizontal="center" vertical="center"/>
      <protection locked="0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0" fontId="84" fillId="13" borderId="50" xfId="0" applyFont="1" applyFill="1" applyBorder="1" applyAlignment="1" applyProtection="1">
      <alignment horizontal="left" vertical="center"/>
      <protection locked="0"/>
    </xf>
    <xf numFmtId="3" fontId="86" fillId="13" borderId="250" xfId="0" applyNumberFormat="1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vertical="center"/>
      <protection locked="0"/>
    </xf>
    <xf numFmtId="0" fontId="5" fillId="7" borderId="19" xfId="0" applyFont="1" applyFill="1" applyBorder="1" applyAlignment="1" applyProtection="1">
      <alignment vertical="center"/>
      <protection locked="0"/>
    </xf>
    <xf numFmtId="3" fontId="5" fillId="0" borderId="0" xfId="0" applyNumberFormat="1" applyFont="1" applyAlignment="1" applyProtection="1">
      <alignment horizontal="center" vertical="center"/>
      <protection hidden="1"/>
    </xf>
    <xf numFmtId="0" fontId="86" fillId="13" borderId="50" xfId="0" applyFont="1" applyFill="1" applyBorder="1" applyAlignment="1" applyProtection="1">
      <alignment vertical="center"/>
      <protection locked="0"/>
    </xf>
    <xf numFmtId="0" fontId="5" fillId="7" borderId="36" xfId="0" applyFont="1" applyFill="1" applyBorder="1" applyAlignment="1" applyProtection="1">
      <alignment horizontal="left" vertical="center"/>
      <protection locked="0"/>
    </xf>
    <xf numFmtId="0" fontId="86" fillId="13" borderId="32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0" fontId="5" fillId="7" borderId="85" xfId="0" applyFont="1" applyFill="1" applyBorder="1" applyAlignment="1" applyProtection="1">
      <alignment vertical="center"/>
      <protection locked="0"/>
    </xf>
    <xf numFmtId="0" fontId="2" fillId="0" borderId="64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2" fillId="8" borderId="63" xfId="0" applyFont="1" applyFill="1" applyBorder="1" applyAlignment="1" applyProtection="1">
      <alignment horizontal="left" vertical="center" indent="1"/>
      <protection hidden="1"/>
    </xf>
    <xf numFmtId="0" fontId="2" fillId="0" borderId="6" xfId="0" applyFont="1" applyBorder="1" applyAlignment="1">
      <alignment horizontal="left" vertical="center" indent="1"/>
    </xf>
    <xf numFmtId="0" fontId="2" fillId="0" borderId="6" xfId="0" applyFont="1" applyBorder="1" applyAlignment="1">
      <alignment horizontal="left" vertical="center" wrapText="1" indent="1"/>
    </xf>
    <xf numFmtId="0" fontId="2" fillId="0" borderId="25" xfId="0" applyFont="1" applyBorder="1" applyAlignment="1">
      <alignment horizontal="left" vertical="center" indent="1"/>
    </xf>
    <xf numFmtId="3" fontId="2" fillId="7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125" xfId="0" applyFont="1" applyBorder="1" applyAlignment="1">
      <alignment horizontal="left" vertical="center" indent="1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3" fontId="5" fillId="0" borderId="0" xfId="0" applyNumberFormat="1" applyFont="1" applyAlignment="1" applyProtection="1">
      <alignment horizontal="center" vertical="center"/>
      <protection locked="0"/>
    </xf>
    <xf numFmtId="3" fontId="5" fillId="7" borderId="19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2" fillId="7" borderId="17" xfId="0" applyFont="1" applyFill="1" applyBorder="1" applyAlignment="1" applyProtection="1">
      <alignment vertical="center"/>
      <protection locked="0"/>
    </xf>
    <xf numFmtId="0" fontId="5" fillId="0" borderId="17" xfId="0" applyFont="1" applyBorder="1" applyAlignment="1">
      <alignment vertical="center"/>
    </xf>
    <xf numFmtId="164" fontId="5" fillId="7" borderId="32" xfId="0" applyNumberFormat="1" applyFont="1" applyFill="1" applyBorder="1" applyAlignment="1" applyProtection="1">
      <alignment horizontal="center" vertical="center"/>
      <protection locked="0"/>
    </xf>
    <xf numFmtId="0" fontId="21" fillId="0" borderId="2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5" fillId="7" borderId="18" xfId="0" applyNumberFormat="1" applyFont="1" applyFill="1" applyBorder="1" applyAlignment="1" applyProtection="1">
      <alignment horizontal="center" vertical="center"/>
      <protection locked="0"/>
    </xf>
    <xf numFmtId="164" fontId="5" fillId="7" borderId="19" xfId="0" applyNumberFormat="1" applyFont="1" applyFill="1" applyBorder="1" applyAlignment="1" applyProtection="1">
      <alignment horizontal="center" vertical="center"/>
      <protection locked="0"/>
    </xf>
    <xf numFmtId="0" fontId="5" fillId="0" borderId="19" xfId="0" applyFont="1" applyBorder="1" applyAlignment="1">
      <alignment vertical="center"/>
    </xf>
    <xf numFmtId="3" fontId="5" fillId="0" borderId="19" xfId="0" applyNumberFormat="1" applyFont="1" applyBorder="1" applyAlignment="1" applyProtection="1">
      <alignment horizontal="center"/>
      <protection hidden="1"/>
    </xf>
    <xf numFmtId="3" fontId="5" fillId="0" borderId="18" xfId="0" applyNumberFormat="1" applyFont="1" applyBorder="1" applyAlignment="1" applyProtection="1">
      <alignment horizontal="center"/>
      <protection hidden="1"/>
    </xf>
    <xf numFmtId="0" fontId="9" fillId="0" borderId="17" xfId="0" applyFont="1" applyBorder="1" applyAlignment="1">
      <alignment horizontal="left" vertical="center" indent="1"/>
    </xf>
    <xf numFmtId="0" fontId="5" fillId="7" borderId="20" xfId="0" applyFont="1" applyFill="1" applyBorder="1" applyAlignment="1" applyProtection="1">
      <alignment horizontal="center" vertical="center"/>
      <protection locked="0"/>
    </xf>
    <xf numFmtId="0" fontId="20" fillId="8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top" wrapText="1"/>
    </xf>
    <xf numFmtId="0" fontId="0" fillId="0" borderId="0" xfId="0"/>
    <xf numFmtId="0" fontId="10" fillId="0" borderId="0" xfId="0" applyFont="1" applyAlignment="1">
      <alignment horizontal="center"/>
    </xf>
    <xf numFmtId="0" fontId="61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20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4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0" fillId="7" borderId="17" xfId="0" applyFont="1" applyFill="1" applyBorder="1" applyAlignment="1" applyProtection="1">
      <alignment vertical="center"/>
      <protection locked="0"/>
    </xf>
    <xf numFmtId="164" fontId="10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7" borderId="17" xfId="0" applyFont="1" applyFill="1" applyBorder="1" applyAlignment="1" applyProtection="1">
      <alignment horizontal="center" vertical="center" wrapText="1"/>
      <protection locked="0"/>
    </xf>
    <xf numFmtId="0" fontId="10" fillId="7" borderId="17" xfId="0" applyFont="1" applyFill="1" applyBorder="1" applyAlignment="1" applyProtection="1">
      <alignment horizontal="left" vertical="center" wrapText="1"/>
      <protection locked="0"/>
    </xf>
    <xf numFmtId="0" fontId="56" fillId="0" borderId="0" xfId="0" applyFont="1" applyAlignment="1">
      <alignment horizontal="center" vertical="center"/>
    </xf>
    <xf numFmtId="0" fontId="4" fillId="7" borderId="16" xfId="0" applyFont="1" applyFill="1" applyBorder="1" applyAlignment="1" applyProtection="1">
      <alignment horizontal="left" vertical="center"/>
      <protection locked="0"/>
    </xf>
    <xf numFmtId="0" fontId="4" fillId="7" borderId="60" xfId="0" applyFont="1" applyFill="1" applyBorder="1" applyAlignment="1" applyProtection="1">
      <alignment horizontal="left" vertical="center"/>
      <protection locked="0"/>
    </xf>
    <xf numFmtId="14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60" xfId="0" applyFont="1" applyFill="1" applyBorder="1" applyAlignment="1">
      <alignment horizontal="center" vertical="center"/>
    </xf>
    <xf numFmtId="0" fontId="9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4" fillId="7" borderId="16" xfId="0" applyNumberFormat="1" applyFont="1" applyFill="1" applyBorder="1" applyAlignment="1" applyProtection="1">
      <alignment horizontal="left" vertical="center"/>
      <protection locked="0"/>
    </xf>
    <xf numFmtId="0" fontId="7" fillId="0" borderId="7" xfId="0" applyFont="1" applyBorder="1" applyAlignment="1">
      <alignment horizontal="left" vertical="center"/>
    </xf>
    <xf numFmtId="49" fontId="4" fillId="7" borderId="0" xfId="0" applyNumberFormat="1" applyFont="1" applyFill="1" applyAlignment="1" applyProtection="1">
      <alignment horizontal="left" vertical="center"/>
      <protection locked="0"/>
    </xf>
    <xf numFmtId="0" fontId="1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31" xfId="0" applyBorder="1" applyAlignment="1" applyProtection="1">
      <alignment horizontal="left" vertical="top" wrapText="1"/>
      <protection locked="0"/>
    </xf>
    <xf numFmtId="0" fontId="5" fillId="0" borderId="0" xfId="0" applyFont="1" applyAlignment="1">
      <alignment horizontal="left"/>
    </xf>
    <xf numFmtId="0" fontId="9" fillId="0" borderId="18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4" fillId="0" borderId="25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0" borderId="0" xfId="0" applyFont="1" applyAlignment="1">
      <alignment horizontal="right" vertical="top" wrapText="1"/>
    </xf>
    <xf numFmtId="14" fontId="4" fillId="7" borderId="16" xfId="0" applyNumberFormat="1" applyFont="1" applyFill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1" fontId="10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/>
      <protection hidden="1"/>
    </xf>
    <xf numFmtId="0" fontId="9" fillId="13" borderId="18" xfId="0" applyFont="1" applyFill="1" applyBorder="1" applyAlignment="1" applyProtection="1">
      <alignment horizontal="center" vertical="center"/>
      <protection hidden="1"/>
    </xf>
    <xf numFmtId="0" fontId="10" fillId="13" borderId="7" xfId="0" applyFont="1" applyFill="1" applyBorder="1" applyAlignment="1">
      <alignment horizontal="center" vertical="center"/>
    </xf>
    <xf numFmtId="0" fontId="10" fillId="13" borderId="59" xfId="0" applyFont="1" applyFill="1" applyBorder="1" applyAlignment="1">
      <alignment horizontal="center" vertical="center"/>
    </xf>
    <xf numFmtId="0" fontId="10" fillId="13" borderId="25" xfId="0" applyFont="1" applyFill="1" applyBorder="1" applyAlignment="1">
      <alignment horizontal="center" vertical="center"/>
    </xf>
    <xf numFmtId="0" fontId="10" fillId="13" borderId="0" xfId="0" applyFont="1" applyFill="1" applyAlignment="1">
      <alignment horizontal="center" vertical="center"/>
    </xf>
    <xf numFmtId="0" fontId="10" fillId="13" borderId="28" xfId="0" applyFont="1" applyFill="1" applyBorder="1" applyAlignment="1">
      <alignment horizontal="center" vertical="center"/>
    </xf>
    <xf numFmtId="3" fontId="10" fillId="0" borderId="0" xfId="0" applyNumberFormat="1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1" fontId="9" fillId="0" borderId="0" xfId="0" applyNumberFormat="1" applyFon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right"/>
      <protection hidden="1"/>
    </xf>
    <xf numFmtId="0" fontId="9" fillId="0" borderId="45" xfId="0" applyFont="1" applyBorder="1" applyAlignment="1" applyProtection="1">
      <alignment horizontal="left" vertical="center" wrapText="1"/>
      <protection hidden="1"/>
    </xf>
    <xf numFmtId="0" fontId="9" fillId="0" borderId="76" xfId="0" applyFont="1" applyBorder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left" vertical="center"/>
      <protection hidden="1"/>
    </xf>
    <xf numFmtId="164" fontId="0" fillId="0" borderId="0" xfId="0" applyNumberFormat="1" applyAlignment="1" applyProtection="1">
      <alignment horizontal="right"/>
      <protection hidden="1"/>
    </xf>
    <xf numFmtId="49" fontId="0" fillId="0" borderId="0" xfId="0" applyNumberFormat="1" applyAlignment="1" applyProtection="1">
      <alignment horizontal="center"/>
      <protection hidden="1"/>
    </xf>
    <xf numFmtId="49" fontId="3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4" fontId="3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center"/>
      <protection hidden="1"/>
    </xf>
    <xf numFmtId="0" fontId="5" fillId="0" borderId="45" xfId="0" applyFont="1" applyBorder="1" applyAlignment="1" applyProtection="1">
      <alignment horizontal="left" vertical="center"/>
      <protection hidden="1"/>
    </xf>
    <xf numFmtId="0" fontId="5" fillId="0" borderId="76" xfId="0" applyFont="1" applyBorder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167" fontId="10" fillId="7" borderId="69" xfId="0" applyNumberFormat="1" applyFont="1" applyFill="1" applyBorder="1" applyAlignment="1" applyProtection="1">
      <alignment horizontal="center" vertical="center"/>
      <protection locked="0"/>
    </xf>
    <xf numFmtId="167" fontId="10" fillId="7" borderId="44" xfId="0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Alignment="1" applyProtection="1">
      <alignment horizontal="center"/>
      <protection hidden="1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9" xfId="0" applyFont="1" applyFill="1" applyBorder="1" applyAlignment="1" applyProtection="1">
      <alignment horizontal="center"/>
      <protection hidden="1"/>
    </xf>
    <xf numFmtId="0" fontId="9" fillId="7" borderId="27" xfId="0" applyFont="1" applyFill="1" applyBorder="1" applyAlignment="1" applyProtection="1">
      <alignment horizontal="center"/>
      <protection locked="0"/>
    </xf>
    <xf numFmtId="0" fontId="9" fillId="7" borderId="28" xfId="0" applyFont="1" applyFill="1" applyBorder="1" applyAlignment="1" applyProtection="1">
      <alignment horizontal="center"/>
      <protection locked="0"/>
    </xf>
    <xf numFmtId="0" fontId="9" fillId="7" borderId="81" xfId="0" applyFont="1" applyFill="1" applyBorder="1" applyAlignment="1" applyProtection="1">
      <alignment horizontal="center"/>
      <protection locked="0"/>
    </xf>
    <xf numFmtId="0" fontId="9" fillId="7" borderId="66" xfId="0" applyFont="1" applyFill="1" applyBorder="1" applyAlignment="1" applyProtection="1">
      <alignment horizontal="center"/>
      <protection locked="0"/>
    </xf>
    <xf numFmtId="167" fontId="10" fillId="7" borderId="109" xfId="0" applyNumberFormat="1" applyFont="1" applyFill="1" applyBorder="1" applyAlignment="1" applyProtection="1">
      <alignment horizontal="center" vertical="center"/>
      <protection locked="0"/>
    </xf>
    <xf numFmtId="1" fontId="9" fillId="7" borderId="27" xfId="0" applyNumberFormat="1" applyFont="1" applyFill="1" applyBorder="1" applyAlignment="1" applyProtection="1">
      <alignment horizontal="center"/>
      <protection locked="0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28" xfId="0" applyFont="1" applyFill="1" applyBorder="1" applyAlignment="1" applyProtection="1">
      <alignment horizontal="center"/>
      <protection hidden="1"/>
    </xf>
    <xf numFmtId="167" fontId="10" fillId="7" borderId="68" xfId="0" applyNumberFormat="1" applyFont="1" applyFill="1" applyBorder="1" applyAlignment="1" applyProtection="1">
      <alignment horizontal="center" vertical="center"/>
      <protection locked="0"/>
    </xf>
    <xf numFmtId="0" fontId="9" fillId="7" borderId="250" xfId="0" applyFont="1" applyFill="1" applyBorder="1" applyAlignment="1" applyProtection="1">
      <alignment horizontal="center"/>
      <protection locked="0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0" fontId="58" fillId="0" borderId="75" xfId="0" applyFont="1" applyBorder="1" applyAlignment="1">
      <alignment horizontal="left" vertical="center" indent="1"/>
    </xf>
    <xf numFmtId="0" fontId="58" fillId="0" borderId="45" xfId="0" applyFont="1" applyBorder="1" applyAlignment="1">
      <alignment horizontal="left" vertical="center" indent="1"/>
    </xf>
    <xf numFmtId="0" fontId="58" fillId="0" borderId="46" xfId="0" applyFont="1" applyBorder="1" applyAlignment="1">
      <alignment horizontal="left" vertical="center" indent="1"/>
    </xf>
    <xf numFmtId="0" fontId="58" fillId="0" borderId="27" xfId="0" applyFont="1" applyBorder="1" applyAlignment="1" applyProtection="1">
      <alignment horizontal="left" vertical="center" indent="1"/>
      <protection hidden="1"/>
    </xf>
    <xf numFmtId="0" fontId="58" fillId="0" borderId="0" xfId="0" applyFont="1" applyAlignment="1" applyProtection="1">
      <alignment horizontal="left" vertical="center" indent="1"/>
      <protection hidden="1"/>
    </xf>
    <xf numFmtId="0" fontId="58" fillId="0" borderId="31" xfId="0" applyFont="1" applyBorder="1" applyAlignment="1" applyProtection="1">
      <alignment horizontal="left" vertical="center" indent="1"/>
      <protection hidden="1"/>
    </xf>
    <xf numFmtId="0" fontId="58" fillId="0" borderId="27" xfId="0" applyFont="1" applyBorder="1" applyAlignment="1" applyProtection="1">
      <alignment horizontal="left" vertical="center" indent="2"/>
      <protection hidden="1"/>
    </xf>
    <xf numFmtId="0" fontId="58" fillId="0" borderId="0" xfId="0" applyFont="1" applyAlignment="1" applyProtection="1">
      <alignment horizontal="left" vertical="center" indent="2"/>
      <protection hidden="1"/>
    </xf>
    <xf numFmtId="0" fontId="58" fillId="0" borderId="31" xfId="0" applyFont="1" applyBorder="1" applyAlignment="1" applyProtection="1">
      <alignment horizontal="left" vertical="center" indent="2"/>
      <protection hidden="1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 wrapText="1" indent="1"/>
    </xf>
    <xf numFmtId="0" fontId="10" fillId="0" borderId="46" xfId="0" applyFont="1" applyBorder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horizontal="left" vertical="center"/>
    </xf>
    <xf numFmtId="2" fontId="4" fillId="0" borderId="16" xfId="0" applyNumberFormat="1" applyFont="1" applyBorder="1" applyAlignment="1">
      <alignment horizontal="left" vertical="center"/>
    </xf>
    <xf numFmtId="0" fontId="61" fillId="13" borderId="57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7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9" fillId="0" borderId="45" xfId="0" applyFont="1" applyBorder="1" applyAlignment="1">
      <alignment horizontal="left" vertical="center"/>
    </xf>
    <xf numFmtId="0" fontId="9" fillId="0" borderId="46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4" fillId="0" borderId="34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>
      <alignment horizontal="left" vertical="center"/>
    </xf>
    <xf numFmtId="0" fontId="4" fillId="0" borderId="1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43" xfId="0" applyFont="1" applyBorder="1" applyAlignment="1">
      <alignment horizontal="left"/>
    </xf>
    <xf numFmtId="0" fontId="83" fillId="13" borderId="106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0" fillId="0" borderId="79" xfId="0" applyFont="1" applyBorder="1" applyAlignment="1">
      <alignment horizontal="left" vertical="center"/>
    </xf>
    <xf numFmtId="0" fontId="10" fillId="0" borderId="80" xfId="0" applyFont="1" applyBorder="1" applyAlignment="1">
      <alignment horizontal="left" vertical="center"/>
    </xf>
    <xf numFmtId="0" fontId="5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83" fillId="13" borderId="0" xfId="0" applyFont="1" applyFill="1" applyAlignment="1">
      <alignment horizontal="left"/>
    </xf>
    <xf numFmtId="0" fontId="58" fillId="0" borderId="45" xfId="0" applyFont="1" applyBorder="1" applyAlignment="1">
      <alignment horizontal="left" vertical="center" indent="2"/>
    </xf>
    <xf numFmtId="0" fontId="58" fillId="0" borderId="46" xfId="0" applyFont="1" applyBorder="1" applyAlignment="1">
      <alignment horizontal="left" vertical="center" indent="2"/>
    </xf>
    <xf numFmtId="2" fontId="58" fillId="0" borderId="75" xfId="0" applyNumberFormat="1" applyFont="1" applyBorder="1" applyAlignment="1" applyProtection="1">
      <alignment horizontal="left" vertical="center" indent="2"/>
      <protection hidden="1"/>
    </xf>
    <xf numFmtId="2" fontId="58" fillId="0" borderId="45" xfId="0" applyNumberFormat="1" applyFont="1" applyBorder="1" applyAlignment="1" applyProtection="1">
      <alignment horizontal="left" vertical="center" indent="2"/>
      <protection hidden="1"/>
    </xf>
    <xf numFmtId="2" fontId="58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50" fillId="0" borderId="75" xfId="0" applyFont="1" applyBorder="1" applyAlignment="1">
      <alignment horizontal="left" vertical="center" indent="1"/>
    </xf>
    <xf numFmtId="0" fontId="50" fillId="0" borderId="45" xfId="0" applyFont="1" applyBorder="1" applyAlignment="1">
      <alignment horizontal="left" vertical="center" indent="1"/>
    </xf>
    <xf numFmtId="0" fontId="50" fillId="0" borderId="46" xfId="0" applyFont="1" applyBorder="1" applyAlignment="1">
      <alignment horizontal="left" vertical="center" indent="1"/>
    </xf>
    <xf numFmtId="0" fontId="58" fillId="0" borderId="97" xfId="0" applyFont="1" applyBorder="1" applyAlignment="1">
      <alignment horizontal="left" vertical="center" indent="1"/>
    </xf>
    <xf numFmtId="0" fontId="58" fillId="0" borderId="98" xfId="0" applyFont="1" applyBorder="1" applyAlignment="1">
      <alignment horizontal="left" vertical="center" indent="1"/>
    </xf>
    <xf numFmtId="0" fontId="58" fillId="0" borderId="99" xfId="0" applyFont="1" applyBorder="1" applyAlignment="1">
      <alignment horizontal="left" vertical="center" indent="1"/>
    </xf>
    <xf numFmtId="14" fontId="4" fillId="0" borderId="16" xfId="0" applyNumberFormat="1" applyFont="1" applyBorder="1" applyAlignment="1">
      <alignment horizontal="left" vertical="center"/>
    </xf>
    <xf numFmtId="0" fontId="5" fillId="0" borderId="19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2" fillId="0" borderId="13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5" fillId="0" borderId="69" xfId="0" applyNumberFormat="1" applyFont="1" applyBorder="1" applyAlignment="1" applyProtection="1">
      <alignment horizontal="center" vertical="center"/>
      <protection hidden="1"/>
    </xf>
    <xf numFmtId="3" fontId="5" fillId="0" borderId="44" xfId="0" applyNumberFormat="1" applyFont="1" applyBorder="1" applyAlignment="1" applyProtection="1">
      <alignment horizontal="center" vertical="center"/>
      <protection hidden="1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1" xfId="0" applyFont="1" applyFill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3" fontId="5" fillId="7" borderId="69" xfId="0" applyNumberFormat="1" applyFont="1" applyFill="1" applyBorder="1" applyAlignment="1" applyProtection="1">
      <alignment horizontal="center" vertical="center"/>
      <protection locked="0"/>
    </xf>
    <xf numFmtId="3" fontId="5" fillId="7" borderId="44" xfId="0" applyNumberFormat="1" applyFont="1" applyFill="1" applyBorder="1" applyAlignment="1" applyProtection="1">
      <alignment horizontal="center" vertical="center"/>
      <protection locked="0"/>
    </xf>
    <xf numFmtId="3" fontId="2" fillId="0" borderId="117" xfId="0" applyNumberFormat="1" applyFont="1" applyBorder="1" applyAlignment="1" applyProtection="1">
      <alignment horizontal="center" vertical="center"/>
      <protection hidden="1"/>
    </xf>
    <xf numFmtId="3" fontId="2" fillId="0" borderId="118" xfId="0" applyNumberFormat="1" applyFont="1" applyBorder="1" applyAlignment="1" applyProtection="1">
      <alignment horizontal="center" vertical="center"/>
      <protection hidden="1"/>
    </xf>
    <xf numFmtId="3" fontId="2" fillId="0" borderId="4" xfId="0" applyNumberFormat="1" applyFont="1" applyBorder="1" applyAlignment="1" applyProtection="1">
      <alignment horizontal="center" vertical="center"/>
      <protection hidden="1"/>
    </xf>
    <xf numFmtId="3" fontId="2" fillId="0" borderId="100" xfId="0" applyNumberFormat="1" applyFont="1" applyBorder="1" applyAlignment="1" applyProtection="1">
      <alignment horizontal="center" vertical="center"/>
      <protection hidden="1"/>
    </xf>
    <xf numFmtId="3" fontId="5" fillId="7" borderId="101" xfId="0" applyNumberFormat="1" applyFont="1" applyFill="1" applyBorder="1" applyAlignment="1" applyProtection="1">
      <alignment horizontal="center" vertical="center"/>
      <protection locked="0"/>
    </xf>
    <xf numFmtId="3" fontId="5" fillId="7" borderId="92" xfId="0" applyNumberFormat="1" applyFont="1" applyFill="1" applyBorder="1" applyAlignment="1" applyProtection="1">
      <alignment horizontal="center" vertical="center"/>
      <protection locked="0"/>
    </xf>
    <xf numFmtId="3" fontId="5" fillId="7" borderId="12" xfId="0" applyNumberFormat="1" applyFont="1" applyFill="1" applyBorder="1" applyAlignment="1" applyProtection="1">
      <alignment horizontal="center" vertical="center"/>
      <protection locked="0"/>
    </xf>
    <xf numFmtId="3" fontId="5" fillId="7" borderId="9" xfId="0" applyNumberFormat="1" applyFont="1" applyFill="1" applyBorder="1" applyAlignment="1" applyProtection="1">
      <alignment horizontal="center" vertical="center"/>
      <protection locked="0"/>
    </xf>
    <xf numFmtId="3" fontId="5" fillId="0" borderId="12" xfId="0" applyNumberFormat="1" applyFont="1" applyBorder="1" applyAlignment="1" applyProtection="1">
      <alignment horizontal="center" vertical="center"/>
      <protection hidden="1"/>
    </xf>
    <xf numFmtId="3" fontId="5" fillId="0" borderId="9" xfId="0" applyNumberFormat="1" applyFont="1" applyBorder="1" applyAlignment="1" applyProtection="1">
      <alignment horizontal="center" vertical="center"/>
      <protection hidden="1"/>
    </xf>
    <xf numFmtId="3" fontId="5" fillId="0" borderId="101" xfId="0" applyNumberFormat="1" applyFont="1" applyBorder="1" applyAlignment="1" applyProtection="1">
      <alignment horizontal="center" vertical="center"/>
      <protection hidden="1"/>
    </xf>
    <xf numFmtId="3" fontId="5" fillId="0" borderId="92" xfId="0" applyNumberFormat="1" applyFont="1" applyBorder="1" applyAlignment="1" applyProtection="1">
      <alignment horizontal="center" vertical="center"/>
      <protection hidden="1"/>
    </xf>
    <xf numFmtId="0" fontId="84" fillId="13" borderId="1" xfId="0" applyFont="1" applyFill="1" applyBorder="1" applyAlignment="1">
      <alignment horizontal="center" vertical="center"/>
    </xf>
    <xf numFmtId="3" fontId="2" fillId="0" borderId="15" xfId="0" applyNumberFormat="1" applyFont="1" applyBorder="1" applyAlignment="1" applyProtection="1">
      <alignment horizontal="center" vertical="center"/>
      <protection hidden="1"/>
    </xf>
    <xf numFmtId="3" fontId="2" fillId="0" borderId="69" xfId="0" applyNumberFormat="1" applyFont="1" applyBorder="1" applyAlignment="1" applyProtection="1">
      <alignment horizontal="center" vertical="center"/>
      <protection hidden="1"/>
    </xf>
    <xf numFmtId="3" fontId="2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0" fontId="86" fillId="13" borderId="27" xfId="0" applyFont="1" applyFill="1" applyBorder="1" applyAlignment="1">
      <alignment horizontal="center" vertical="center" wrapText="1"/>
    </xf>
    <xf numFmtId="0" fontId="86" fillId="13" borderId="28" xfId="0" applyFont="1" applyFill="1" applyBorder="1" applyAlignment="1">
      <alignment horizontal="center" vertical="center" wrapText="1"/>
    </xf>
    <xf numFmtId="0" fontId="86" fillId="13" borderId="41" xfId="0" applyFont="1" applyFill="1" applyBorder="1" applyAlignment="1">
      <alignment horizontal="center" vertical="center" wrapText="1"/>
    </xf>
    <xf numFmtId="0" fontId="86" fillId="13" borderId="7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81" fillId="13" borderId="13" xfId="0" applyFont="1" applyFill="1" applyBorder="1" applyAlignment="1" applyProtection="1">
      <alignment horizontal="center"/>
      <protection hidden="1"/>
    </xf>
    <xf numFmtId="0" fontId="81" fillId="13" borderId="26" xfId="0" applyFont="1" applyFill="1" applyBorder="1" applyAlignment="1" applyProtection="1">
      <alignment horizontal="center"/>
      <protection hidden="1"/>
    </xf>
    <xf numFmtId="1" fontId="61" fillId="13" borderId="27" xfId="0" applyNumberFormat="1" applyFont="1" applyFill="1" applyBorder="1" applyAlignment="1" applyProtection="1">
      <alignment horizontal="center"/>
      <protection hidden="1"/>
    </xf>
    <xf numFmtId="1" fontId="61" fillId="13" borderId="28" xfId="0" applyNumberFormat="1" applyFont="1" applyFill="1" applyBorder="1" applyAlignment="1" applyProtection="1">
      <alignment horizontal="center"/>
      <protection hidden="1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horizontal="left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5" fillId="0" borderId="0" xfId="0" applyFont="1" applyAlignment="1" applyProtection="1">
      <alignment horizontal="left"/>
      <protection hidden="1"/>
    </xf>
    <xf numFmtId="0" fontId="9" fillId="0" borderId="23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0" xfId="0" applyFont="1" applyAlignment="1" applyProtection="1">
      <alignment horizontal="right" vertical="top"/>
      <protection hidden="1"/>
    </xf>
    <xf numFmtId="0" fontId="80" fillId="13" borderId="12" xfId="0" applyFont="1" applyFill="1" applyBorder="1" applyAlignment="1">
      <alignment horizontal="center"/>
    </xf>
    <xf numFmtId="0" fontId="80" fillId="13" borderId="1" xfId="0" applyFont="1" applyFill="1" applyBorder="1" applyAlignment="1">
      <alignment horizontal="center"/>
    </xf>
    <xf numFmtId="0" fontId="9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9" fillId="0" borderId="41" xfId="0" applyFont="1" applyBorder="1" applyAlignment="1">
      <alignment horizontal="center"/>
    </xf>
    <xf numFmtId="0" fontId="81" fillId="13" borderId="0" xfId="0" applyFont="1" applyFill="1" applyAlignment="1">
      <alignment horizontal="right" vertical="center" wrapText="1" indent="1"/>
    </xf>
    <xf numFmtId="0" fontId="4" fillId="0" borderId="16" xfId="0" applyFont="1" applyBorder="1" applyAlignment="1" applyProtection="1">
      <alignment horizontal="left"/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6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 indent="1"/>
    </xf>
    <xf numFmtId="0" fontId="4" fillId="0" borderId="2" xfId="0" applyFont="1" applyBorder="1" applyAlignment="1">
      <alignment horizontal="left" vertical="center" indent="1"/>
    </xf>
    <xf numFmtId="0" fontId="4" fillId="0" borderId="9" xfId="0" applyFont="1" applyBorder="1" applyAlignment="1">
      <alignment horizontal="left" vertical="center" indent="1"/>
    </xf>
    <xf numFmtId="0" fontId="4" fillId="0" borderId="27" xfId="0" applyFont="1" applyBorder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4" fillId="0" borderId="31" xfId="0" applyFont="1" applyBorder="1" applyAlignment="1">
      <alignment horizontal="left" vertical="center" indent="1"/>
    </xf>
    <xf numFmtId="2" fontId="4" fillId="0" borderId="16" xfId="0" applyNumberFormat="1" applyFont="1" applyBorder="1" applyAlignment="1" applyProtection="1">
      <alignment horizontal="left" vertical="center"/>
      <protection hidden="1"/>
    </xf>
    <xf numFmtId="0" fontId="4" fillId="0" borderId="16" xfId="0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right" vertical="top" wrapText="1"/>
      <protection hidden="1"/>
    </xf>
    <xf numFmtId="0" fontId="10" fillId="0" borderId="0" xfId="0" applyFont="1" applyAlignment="1">
      <alignment horizontal="left" vertical="center" wrapText="1"/>
    </xf>
    <xf numFmtId="0" fontId="10" fillId="0" borderId="31" xfId="0" applyFont="1" applyBorder="1" applyAlignment="1">
      <alignment horizontal="left" vertical="center" wrapText="1"/>
    </xf>
    <xf numFmtId="0" fontId="10" fillId="0" borderId="45" xfId="0" applyFont="1" applyBorder="1" applyAlignment="1">
      <alignment horizontal="left" vertical="center" wrapText="1"/>
    </xf>
    <xf numFmtId="0" fontId="10" fillId="0" borderId="45" xfId="0" quotePrefix="1" applyFont="1" applyBorder="1" applyAlignment="1">
      <alignment horizontal="left" vertical="center"/>
    </xf>
    <xf numFmtId="0" fontId="58" fillId="0" borderId="75" xfId="0" applyFont="1" applyBorder="1" applyAlignment="1" applyProtection="1">
      <alignment horizontal="right" vertical="center"/>
      <protection hidden="1"/>
    </xf>
    <xf numFmtId="0" fontId="58" fillId="0" borderId="45" xfId="0" applyFont="1" applyBorder="1" applyAlignment="1" applyProtection="1">
      <alignment horizontal="right" vertical="center"/>
      <protection hidden="1"/>
    </xf>
    <xf numFmtId="0" fontId="7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164" fontId="5" fillId="0" borderId="0" xfId="2" applyNumberFormat="1" applyFont="1" applyAlignment="1">
      <alignment horizontal="right" vertical="center"/>
    </xf>
    <xf numFmtId="0" fontId="10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68" fillId="0" borderId="4" xfId="0" applyFont="1" applyBorder="1" applyAlignment="1" applyProtection="1">
      <alignment horizontal="right" vertical="center"/>
      <protection hidden="1"/>
    </xf>
    <xf numFmtId="0" fontId="68" fillId="0" borderId="100" xfId="0" applyFont="1" applyBorder="1" applyAlignment="1" applyProtection="1">
      <alignment horizontal="right" vertical="center"/>
      <protection hidden="1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0" fillId="0" borderId="71" xfId="0" applyFont="1" applyBorder="1" applyAlignment="1" applyProtection="1">
      <alignment horizontal="left" vertical="center"/>
      <protection hidden="1"/>
    </xf>
    <xf numFmtId="0" fontId="10" fillId="0" borderId="72" xfId="0" applyFont="1" applyBorder="1" applyAlignment="1" applyProtection="1">
      <alignment horizontal="left" vertical="center"/>
      <protection hidden="1"/>
    </xf>
    <xf numFmtId="0" fontId="10" fillId="0" borderId="216" xfId="0" applyFont="1" applyBorder="1" applyAlignment="1" applyProtection="1">
      <alignment horizontal="left" vertical="center"/>
      <protection hidden="1"/>
    </xf>
    <xf numFmtId="0" fontId="10" fillId="0" borderId="73" xfId="0" applyFont="1" applyBorder="1" applyAlignment="1" applyProtection="1">
      <alignment horizontal="left" vertical="center"/>
      <protection hidden="1"/>
    </xf>
    <xf numFmtId="0" fontId="10" fillId="0" borderId="74" xfId="0" applyFont="1" applyBorder="1" applyAlignment="1" applyProtection="1">
      <alignment horizontal="left" vertical="center"/>
      <protection hidden="1"/>
    </xf>
    <xf numFmtId="0" fontId="10" fillId="0" borderId="120" xfId="0" applyFont="1" applyBorder="1" applyAlignment="1" applyProtection="1">
      <alignment horizontal="left" vertical="center"/>
      <protection hidden="1"/>
    </xf>
    <xf numFmtId="0" fontId="72" fillId="0" borderId="73" xfId="0" applyFont="1" applyBorder="1" applyAlignment="1" applyProtection="1">
      <alignment horizontal="left" vertical="center"/>
      <protection hidden="1"/>
    </xf>
    <xf numFmtId="0" fontId="72" fillId="0" borderId="74" xfId="0" applyFont="1" applyBorder="1" applyAlignment="1" applyProtection="1">
      <alignment horizontal="left" vertical="center"/>
      <protection hidden="1"/>
    </xf>
    <xf numFmtId="0" fontId="72" fillId="0" borderId="120" xfId="0" applyFont="1" applyBorder="1" applyAlignment="1" applyProtection="1">
      <alignment horizontal="left" vertical="center"/>
      <protection hidden="1"/>
    </xf>
    <xf numFmtId="0" fontId="58" fillId="0" borderId="73" xfId="0" applyFont="1" applyBorder="1" applyAlignment="1" applyProtection="1">
      <alignment horizontal="left" vertical="center" indent="2"/>
      <protection hidden="1"/>
    </xf>
    <xf numFmtId="0" fontId="58" fillId="0" borderId="74" xfId="0" applyFont="1" applyBorder="1" applyAlignment="1" applyProtection="1">
      <alignment horizontal="left" vertical="center" indent="2"/>
      <protection hidden="1"/>
    </xf>
    <xf numFmtId="0" fontId="58" fillId="0" borderId="120" xfId="0" applyFont="1" applyBorder="1" applyAlignment="1" applyProtection="1">
      <alignment horizontal="left" vertical="center" indent="2"/>
      <protection hidden="1"/>
    </xf>
    <xf numFmtId="0" fontId="10" fillId="0" borderId="20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60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4" fillId="2" borderId="16" xfId="0" applyFont="1" applyFill="1" applyBorder="1" applyAlignment="1" applyProtection="1">
      <alignment horizontal="left"/>
      <protection hidden="1"/>
    </xf>
    <xf numFmtId="0" fontId="10" fillId="0" borderId="61" xfId="0" applyFont="1" applyBorder="1" applyAlignment="1" applyProtection="1">
      <alignment horizontal="center" vertical="center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6" fillId="7" borderId="0" xfId="0" applyFont="1" applyFill="1" applyAlignment="1" applyProtection="1">
      <alignment horizontal="center" vertical="center"/>
      <protection locked="0"/>
    </xf>
    <xf numFmtId="0" fontId="87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9" fillId="0" borderId="17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10" fontId="2" fillId="5" borderId="38" xfId="2" applyNumberFormat="1" applyFont="1" applyFill="1" applyBorder="1" applyAlignment="1" applyProtection="1">
      <alignment horizontal="right" vertical="center"/>
      <protection hidden="1"/>
    </xf>
    <xf numFmtId="10" fontId="2" fillId="5" borderId="17" xfId="2" applyNumberFormat="1" applyFont="1" applyFill="1" applyBorder="1" applyAlignment="1" applyProtection="1">
      <alignment horizontal="right" vertical="center"/>
      <protection hidden="1"/>
    </xf>
    <xf numFmtId="16" fontId="10" fillId="0" borderId="20" xfId="0" quotePrefix="1" applyNumberFormat="1" applyFont="1" applyBorder="1" applyAlignment="1">
      <alignment horizontal="left" vertical="center"/>
    </xf>
    <xf numFmtId="16" fontId="35" fillId="0" borderId="10" xfId="0" quotePrefix="1" applyNumberFormat="1" applyFont="1" applyBorder="1" applyAlignment="1">
      <alignment horizontal="left" vertical="center"/>
    </xf>
    <xf numFmtId="16" fontId="35" fillId="0" borderId="44" xfId="0" quotePrefix="1" applyNumberFormat="1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82" fillId="13" borderId="158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9" xfId="0" applyFont="1" applyFill="1" applyBorder="1" applyAlignment="1">
      <alignment horizontal="center" vertical="center" wrapText="1"/>
    </xf>
    <xf numFmtId="0" fontId="61" fillId="13" borderId="169" xfId="0" applyFont="1" applyFill="1" applyBorder="1" applyAlignment="1">
      <alignment horizontal="left" vertical="center"/>
    </xf>
    <xf numFmtId="0" fontId="61" fillId="13" borderId="170" xfId="0" applyFont="1" applyFill="1" applyBorder="1" applyAlignment="1">
      <alignment horizontal="left" vertical="center"/>
    </xf>
    <xf numFmtId="0" fontId="61" fillId="13" borderId="171" xfId="0" applyFont="1" applyFill="1" applyBorder="1" applyAlignment="1">
      <alignment horizontal="left" vertical="center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3" fontId="9" fillId="0" borderId="0" xfId="0" applyNumberFormat="1" applyFont="1" applyAlignment="1">
      <alignment horizontal="right"/>
    </xf>
    <xf numFmtId="0" fontId="51" fillId="0" borderId="126" xfId="0" applyFont="1" applyBorder="1" applyAlignment="1" applyProtection="1">
      <alignment horizontal="left" vertical="center"/>
      <protection hidden="1"/>
    </xf>
    <xf numFmtId="0" fontId="51" fillId="0" borderId="127" xfId="0" applyFont="1" applyBorder="1" applyAlignment="1" applyProtection="1">
      <alignment horizontal="left" vertical="center"/>
      <protection hidden="1"/>
    </xf>
    <xf numFmtId="0" fontId="51" fillId="0" borderId="128" xfId="0" applyFont="1" applyBorder="1" applyAlignment="1" applyProtection="1">
      <alignment horizontal="left" vertical="center"/>
      <protection hidden="1"/>
    </xf>
    <xf numFmtId="0" fontId="10" fillId="0" borderId="23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60" xfId="0" applyFont="1" applyBorder="1" applyAlignment="1">
      <alignment horizontal="left" vertical="center"/>
    </xf>
    <xf numFmtId="0" fontId="42" fillId="0" borderId="90" xfId="0" applyFont="1" applyBorder="1" applyAlignment="1">
      <alignment horizontal="left" vertical="center"/>
    </xf>
    <xf numFmtId="0" fontId="52" fillId="0" borderId="91" xfId="0" applyFont="1" applyBorder="1" applyAlignment="1">
      <alignment horizontal="left" vertical="center"/>
    </xf>
    <xf numFmtId="0" fontId="52" fillId="0" borderId="92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5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4" fillId="0" borderId="34" xfId="0" applyFont="1" applyBorder="1" applyAlignment="1">
      <alignment horizontal="center" vertical="center"/>
    </xf>
    <xf numFmtId="0" fontId="4" fillId="5" borderId="2" xfId="0" applyFont="1" applyFill="1" applyBorder="1" applyAlignment="1" applyProtection="1">
      <alignment horizontal="left" vertical="center"/>
      <protection hidden="1"/>
    </xf>
    <xf numFmtId="0" fontId="4" fillId="5" borderId="9" xfId="0" applyFont="1" applyFill="1" applyBorder="1" applyAlignment="1" applyProtection="1">
      <alignment horizontal="left" vertical="center"/>
      <protection hidden="1"/>
    </xf>
    <xf numFmtId="166" fontId="41" fillId="0" borderId="19" xfId="0" applyNumberFormat="1" applyFont="1" applyBorder="1" applyAlignment="1">
      <alignment horizontal="center" vertical="center"/>
    </xf>
    <xf numFmtId="166" fontId="41" fillId="0" borderId="61" xfId="0" applyNumberFormat="1" applyFont="1" applyBorder="1" applyAlignment="1">
      <alignment horizontal="center" vertical="center"/>
    </xf>
    <xf numFmtId="166" fontId="41" fillId="0" borderId="86" xfId="0" applyNumberFormat="1" applyFont="1" applyBorder="1" applyAlignment="1">
      <alignment horizontal="center" vertical="center"/>
    </xf>
    <xf numFmtId="0" fontId="41" fillId="0" borderId="167" xfId="0" applyFont="1" applyBorder="1" applyAlignment="1">
      <alignment horizontal="center" vertical="center"/>
    </xf>
    <xf numFmtId="0" fontId="41" fillId="0" borderId="61" xfId="0" applyFont="1" applyBorder="1" applyAlignment="1">
      <alignment horizontal="center" vertical="center"/>
    </xf>
    <xf numFmtId="0" fontId="41" fillId="0" borderId="32" xfId="0" applyFont="1" applyBorder="1" applyAlignment="1">
      <alignment horizontal="center" vertical="center"/>
    </xf>
    <xf numFmtId="0" fontId="81" fillId="13" borderId="169" xfId="0" applyFont="1" applyFill="1" applyBorder="1" applyAlignment="1">
      <alignment horizontal="left" vertical="center"/>
    </xf>
    <xf numFmtId="0" fontId="81" fillId="13" borderId="170" xfId="0" applyFont="1" applyFill="1" applyBorder="1" applyAlignment="1">
      <alignment horizontal="left" vertical="center"/>
    </xf>
    <xf numFmtId="0" fontId="81" fillId="13" borderId="171" xfId="0" applyFont="1" applyFill="1" applyBorder="1" applyAlignment="1">
      <alignment horizontal="left" vertical="center"/>
    </xf>
    <xf numFmtId="0" fontId="4" fillId="5" borderId="16" xfId="0" applyFont="1" applyFill="1" applyBorder="1" applyAlignment="1" applyProtection="1">
      <alignment horizontal="left" vertical="center"/>
      <protection hidden="1"/>
    </xf>
    <xf numFmtId="0" fontId="4" fillId="5" borderId="60" xfId="0" applyFont="1" applyFill="1" applyBorder="1" applyAlignment="1" applyProtection="1">
      <alignment horizontal="left" vertical="center"/>
      <protection hidden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0" fillId="0" borderId="0" xfId="0" applyNumberFormat="1" applyFont="1" applyAlignment="1">
      <alignment horizontal="center" vertical="center"/>
    </xf>
    <xf numFmtId="0" fontId="9" fillId="5" borderId="18" xfId="0" applyFont="1" applyFill="1" applyBorder="1" applyAlignment="1" applyProtection="1">
      <alignment horizontal="left" vertical="center"/>
      <protection hidden="1"/>
    </xf>
    <xf numFmtId="0" fontId="9" fillId="5" borderId="7" xfId="0" applyFont="1" applyFill="1" applyBorder="1" applyAlignment="1" applyProtection="1">
      <alignment horizontal="left" vertical="center"/>
      <protection hidden="1"/>
    </xf>
    <xf numFmtId="0" fontId="9" fillId="5" borderId="8" xfId="0" applyFont="1" applyFill="1" applyBorder="1" applyAlignment="1" applyProtection="1">
      <alignment horizontal="left" vertical="center"/>
      <protection hidden="1"/>
    </xf>
    <xf numFmtId="0" fontId="9" fillId="5" borderId="23" xfId="0" applyFont="1" applyFill="1" applyBorder="1" applyAlignment="1" applyProtection="1">
      <alignment horizontal="left" vertical="center"/>
      <protection hidden="1"/>
    </xf>
    <xf numFmtId="0" fontId="9" fillId="5" borderId="16" xfId="0" applyFont="1" applyFill="1" applyBorder="1" applyAlignment="1" applyProtection="1">
      <alignment horizontal="left" vertical="center"/>
      <protection hidden="1"/>
    </xf>
    <xf numFmtId="0" fontId="9" fillId="5" borderId="60" xfId="0" applyFont="1" applyFill="1" applyBorder="1" applyAlignment="1" applyProtection="1">
      <alignment horizontal="left" vertical="center"/>
      <protection hidden="1"/>
    </xf>
    <xf numFmtId="0" fontId="26" fillId="0" borderId="61" xfId="0" applyFont="1" applyBorder="1" applyAlignment="1">
      <alignment horizontal="center" vertical="center"/>
    </xf>
    <xf numFmtId="0" fontId="26" fillId="0" borderId="86" xfId="0" applyFont="1" applyBorder="1" applyAlignment="1">
      <alignment horizontal="center" vertical="center"/>
    </xf>
    <xf numFmtId="0" fontId="54" fillId="0" borderId="126" xfId="0" applyFont="1" applyBorder="1" applyAlignment="1" applyProtection="1">
      <alignment horizontal="left"/>
      <protection hidden="1"/>
    </xf>
    <xf numFmtId="0" fontId="54" fillId="0" borderId="127" xfId="0" applyFont="1" applyBorder="1" applyAlignment="1" applyProtection="1">
      <alignment horizontal="left"/>
      <protection hidden="1"/>
    </xf>
    <xf numFmtId="0" fontId="54" fillId="0" borderId="128" xfId="0" applyFont="1" applyBorder="1" applyAlignment="1" applyProtection="1">
      <alignment horizontal="left"/>
      <protection hidden="1"/>
    </xf>
    <xf numFmtId="0" fontId="2" fillId="0" borderId="17" xfId="0" applyFont="1" applyBorder="1" applyAlignment="1">
      <alignment horizontal="center"/>
    </xf>
    <xf numFmtId="0" fontId="5" fillId="0" borderId="19" xfId="0" applyFont="1" applyBorder="1" applyAlignment="1" applyProtection="1">
      <alignment horizontal="center" vertical="center" wrapText="1"/>
      <protection hidden="1"/>
    </xf>
    <xf numFmtId="0" fontId="5" fillId="0" borderId="32" xfId="0" applyFont="1" applyBorder="1" applyAlignment="1" applyProtection="1">
      <alignment horizontal="center" vertical="center" wrapText="1"/>
      <protection hidden="1"/>
    </xf>
    <xf numFmtId="10" fontId="2" fillId="5" borderId="44" xfId="2" applyNumberFormat="1" applyFont="1" applyFill="1" applyBorder="1" applyAlignment="1" applyProtection="1">
      <alignment horizontal="right" vertical="center"/>
      <protection hidden="1"/>
    </xf>
    <xf numFmtId="17" fontId="5" fillId="0" borderId="20" xfId="0" applyNumberFormat="1" applyFont="1" applyBorder="1" applyAlignment="1" applyProtection="1">
      <alignment horizontal="center" vertical="center"/>
      <protection hidden="1"/>
    </xf>
    <xf numFmtId="17" fontId="5" fillId="0" borderId="68" xfId="0" applyNumberFormat="1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84" fillId="13" borderId="0" xfId="0" applyFont="1" applyFill="1" applyAlignment="1" applyProtection="1">
      <alignment horizont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167" fontId="5" fillId="0" borderId="146" xfId="0" applyNumberFormat="1" applyFont="1" applyBorder="1" applyAlignment="1" applyProtection="1">
      <alignment horizontal="center" vertical="center"/>
      <protection hidden="1"/>
    </xf>
    <xf numFmtId="167" fontId="5" fillId="0" borderId="141" xfId="0" applyNumberFormat="1" applyFont="1" applyBorder="1" applyAlignment="1" applyProtection="1">
      <alignment horizontal="center" vertical="center"/>
      <protection hidden="1"/>
    </xf>
    <xf numFmtId="0" fontId="2" fillId="0" borderId="22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58" fillId="5" borderId="141" xfId="0" applyNumberFormat="1" applyFont="1" applyFill="1" applyBorder="1" applyAlignment="1">
      <alignment horizontal="center" vertical="center"/>
    </xf>
    <xf numFmtId="167" fontId="5" fillId="0" borderId="227" xfId="0" applyNumberFormat="1" applyFont="1" applyBorder="1" applyAlignment="1" applyProtection="1">
      <alignment horizontal="center" vertical="center"/>
      <protection hidden="1"/>
    </xf>
    <xf numFmtId="164" fontId="13" fillId="5" borderId="141" xfId="2" applyNumberFormat="1" applyFont="1" applyFill="1" applyBorder="1" applyAlignment="1">
      <alignment horizontal="center" vertical="center"/>
    </xf>
    <xf numFmtId="167" fontId="5" fillId="0" borderId="141" xfId="0" applyNumberFormat="1" applyFont="1" applyBorder="1" applyAlignment="1">
      <alignment horizontal="center" vertical="center"/>
    </xf>
    <xf numFmtId="0" fontId="84" fillId="13" borderId="225" xfId="0" applyFont="1" applyFill="1" applyBorder="1" applyAlignment="1">
      <alignment horizontal="center" vertical="center"/>
    </xf>
    <xf numFmtId="0" fontId="84" fillId="13" borderId="226" xfId="0" applyFont="1" applyFill="1" applyBorder="1" applyAlignment="1">
      <alignment horizontal="center" vertical="center"/>
    </xf>
    <xf numFmtId="0" fontId="58" fillId="5" borderId="140" xfId="0" applyFont="1" applyFill="1" applyBorder="1" applyAlignment="1">
      <alignment horizontal="right" vertical="center"/>
    </xf>
    <xf numFmtId="0" fontId="58" fillId="5" borderId="146" xfId="0" applyFont="1" applyFill="1" applyBorder="1" applyAlignment="1">
      <alignment horizontal="right" vertical="center"/>
    </xf>
    <xf numFmtId="0" fontId="61" fillId="13" borderId="0" xfId="0" applyFont="1" applyFill="1" applyAlignment="1" applyProtection="1">
      <alignment horizontal="left" vertical="center" wrapText="1" indent="2"/>
      <protection hidden="1"/>
    </xf>
    <xf numFmtId="164" fontId="58" fillId="5" borderId="141" xfId="0" applyNumberFormat="1" applyFont="1" applyFill="1" applyBorder="1" applyAlignment="1">
      <alignment horizontal="center" vertical="center"/>
    </xf>
    <xf numFmtId="0" fontId="84" fillId="13" borderId="0" xfId="0" applyFont="1" applyFill="1" applyAlignment="1" applyProtection="1">
      <alignment horizontal="center" wrapText="1"/>
      <protection hidden="1"/>
    </xf>
    <xf numFmtId="0" fontId="61" fillId="13" borderId="0" xfId="0" applyFont="1" applyFill="1" applyAlignment="1" applyProtection="1">
      <alignment horizontal="left" vertical="center" wrapText="1" indent="1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7" borderId="135" xfId="0" applyFont="1" applyFill="1" applyBorder="1" applyAlignment="1" applyProtection="1">
      <alignment horizontal="left" vertical="center"/>
      <protection locked="0"/>
    </xf>
    <xf numFmtId="0" fontId="5" fillId="7" borderId="131" xfId="0" applyFont="1" applyFill="1" applyBorder="1" applyAlignment="1" applyProtection="1">
      <alignment horizontal="left" vertical="center"/>
      <protection locked="0"/>
    </xf>
    <xf numFmtId="0" fontId="5" fillId="7" borderId="136" xfId="0" applyFont="1" applyFill="1" applyBorder="1" applyAlignment="1" applyProtection="1">
      <alignment horizontal="left" vertical="center"/>
      <protection locked="0"/>
    </xf>
    <xf numFmtId="0" fontId="5" fillId="7" borderId="130" xfId="0" applyFont="1" applyFill="1" applyBorder="1" applyAlignment="1" applyProtection="1">
      <alignment horizontal="left" vertical="center"/>
      <protection locked="0"/>
    </xf>
    <xf numFmtId="6" fontId="84" fillId="13" borderId="185" xfId="0" applyNumberFormat="1" applyFont="1" applyFill="1" applyBorder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85" xfId="0" applyFont="1" applyFill="1" applyBorder="1" applyAlignment="1" applyProtection="1">
      <alignment horizontal="left" vertical="center"/>
      <protection hidden="1"/>
    </xf>
    <xf numFmtId="0" fontId="84" fillId="13" borderId="186" xfId="0" applyFont="1" applyFill="1" applyBorder="1" applyAlignment="1" applyProtection="1">
      <alignment horizontal="left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84" fillId="13" borderId="188" xfId="0" applyFont="1" applyFill="1" applyBorder="1" applyAlignment="1" applyProtection="1">
      <alignment horizontal="left" vertical="center"/>
      <protection hidden="1"/>
    </xf>
    <xf numFmtId="0" fontId="2" fillId="0" borderId="143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178" xfId="0" applyFont="1" applyBorder="1" applyAlignment="1" applyProtection="1">
      <alignment horizontal="left" vertical="center"/>
      <protection hidden="1"/>
    </xf>
    <xf numFmtId="0" fontId="88" fillId="13" borderId="143" xfId="0" applyFont="1" applyFill="1" applyBorder="1" applyAlignment="1" applyProtection="1">
      <alignment horizontal="left" vertical="center"/>
      <protection hidden="1"/>
    </xf>
    <xf numFmtId="0" fontId="88" fillId="13" borderId="0" xfId="0" applyFont="1" applyFill="1" applyAlignment="1" applyProtection="1">
      <alignment horizontal="left" vertical="center"/>
      <protection hidden="1"/>
    </xf>
    <xf numFmtId="0" fontId="88" fillId="13" borderId="178" xfId="0" applyFont="1" applyFill="1" applyBorder="1" applyAlignment="1" applyProtection="1">
      <alignment horizontal="left" vertical="center"/>
      <protection hidden="1"/>
    </xf>
    <xf numFmtId="14" fontId="2" fillId="0" borderId="0" xfId="0" applyNumberFormat="1" applyFont="1" applyAlignment="1" applyProtection="1">
      <alignment horizontal="left" vertical="center"/>
      <protection hidden="1"/>
    </xf>
    <xf numFmtId="14" fontId="2" fillId="0" borderId="144" xfId="0" applyNumberFormat="1" applyFont="1" applyBorder="1" applyAlignment="1" applyProtection="1">
      <alignment horizontal="left" vertical="center"/>
      <protection hidden="1"/>
    </xf>
    <xf numFmtId="14" fontId="2" fillId="0" borderId="0" xfId="0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88" fillId="13" borderId="175" xfId="0" applyFont="1" applyFill="1" applyBorder="1" applyAlignment="1" applyProtection="1">
      <alignment horizontal="left" vertical="center"/>
      <protection hidden="1"/>
    </xf>
    <xf numFmtId="0" fontId="88" fillId="13" borderId="173" xfId="0" applyFont="1" applyFill="1" applyBorder="1" applyAlignment="1" applyProtection="1">
      <alignment horizontal="left" vertical="center"/>
      <protection hidden="1"/>
    </xf>
    <xf numFmtId="0" fontId="88" fillId="13" borderId="176" xfId="0" applyFont="1" applyFill="1" applyBorder="1" applyAlignment="1" applyProtection="1">
      <alignment horizontal="left" vertical="center"/>
      <protection hidden="1"/>
    </xf>
    <xf numFmtId="0" fontId="2" fillId="0" borderId="188" xfId="0" applyFont="1" applyBorder="1" applyAlignment="1">
      <alignment horizontal="center" vertical="center"/>
    </xf>
    <xf numFmtId="164" fontId="5" fillId="7" borderId="135" xfId="0" applyNumberFormat="1" applyFont="1" applyFill="1" applyBorder="1" applyAlignment="1" applyProtection="1">
      <alignment horizontal="center" vertical="center" wrapText="1"/>
      <protection locked="0"/>
    </xf>
    <xf numFmtId="164" fontId="5" fillId="7" borderId="136" xfId="0" applyNumberFormat="1" applyFont="1" applyFill="1" applyBorder="1" applyAlignment="1" applyProtection="1">
      <alignment horizontal="center" vertical="center" wrapText="1"/>
      <protection locked="0"/>
    </xf>
    <xf numFmtId="0" fontId="5" fillId="7" borderId="135" xfId="0" applyFont="1" applyFill="1" applyBorder="1" applyAlignment="1" applyProtection="1">
      <alignment horizontal="center" vertical="center" wrapText="1"/>
      <protection locked="0"/>
    </xf>
    <xf numFmtId="0" fontId="5" fillId="7" borderId="136" xfId="0" applyFont="1" applyFill="1" applyBorder="1" applyAlignment="1" applyProtection="1">
      <alignment horizontal="center" vertical="center" wrapText="1"/>
      <protection locked="0"/>
    </xf>
    <xf numFmtId="0" fontId="2" fillId="0" borderId="177" xfId="0" applyFont="1" applyBorder="1" applyAlignment="1" applyProtection="1">
      <alignment horizontal="left" vertical="center"/>
      <protection hidden="1"/>
    </xf>
    <xf numFmtId="0" fontId="61" fillId="13" borderId="184" xfId="0" applyFont="1" applyFill="1" applyBorder="1" applyAlignment="1" applyProtection="1">
      <alignment horizontal="left" vertical="center"/>
      <protection hidden="1"/>
    </xf>
    <xf numFmtId="0" fontId="61" fillId="13" borderId="185" xfId="0" applyFont="1" applyFill="1" applyBorder="1" applyAlignment="1" applyProtection="1">
      <alignment horizontal="left" vertical="center"/>
      <protection hidden="1"/>
    </xf>
    <xf numFmtId="0" fontId="61" fillId="13" borderId="187" xfId="0" applyFont="1" applyFill="1" applyBorder="1" applyAlignment="1" applyProtection="1">
      <alignment horizontal="left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2" fontId="2" fillId="0" borderId="177" xfId="0" applyNumberFormat="1" applyFont="1" applyBorder="1" applyAlignment="1" applyProtection="1">
      <alignment horizontal="left" vertical="center"/>
      <protection hidden="1"/>
    </xf>
    <xf numFmtId="0" fontId="2" fillId="0" borderId="144" xfId="0" applyFont="1" applyBorder="1" applyAlignment="1" applyProtection="1">
      <alignment horizontal="left" vertical="center"/>
      <protection hidden="1"/>
    </xf>
    <xf numFmtId="0" fontId="88" fillId="13" borderId="177" xfId="0" applyFont="1" applyFill="1" applyBorder="1" applyAlignment="1" applyProtection="1">
      <alignment horizontal="left"/>
      <protection hidden="1"/>
    </xf>
    <xf numFmtId="0" fontId="88" fillId="13" borderId="0" xfId="0" applyFont="1" applyFill="1" applyAlignment="1" applyProtection="1">
      <alignment horizontal="left"/>
      <protection hidden="1"/>
    </xf>
    <xf numFmtId="0" fontId="88" fillId="13" borderId="144" xfId="0" applyFont="1" applyFill="1" applyBorder="1" applyAlignment="1" applyProtection="1">
      <alignment horizontal="left"/>
      <protection hidden="1"/>
    </xf>
    <xf numFmtId="0" fontId="5" fillId="0" borderId="140" xfId="0" applyFont="1" applyBorder="1" applyAlignment="1" applyProtection="1">
      <alignment horizontal="left" vertical="center"/>
      <protection hidden="1"/>
    </xf>
    <xf numFmtId="0" fontId="5" fillId="0" borderId="146" xfId="0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2" fillId="0" borderId="0" xfId="0" applyFont="1" applyAlignment="1">
      <alignment horizontal="left" vertical="center"/>
    </xf>
    <xf numFmtId="0" fontId="86" fillId="13" borderId="220" xfId="0" applyFont="1" applyFill="1" applyBorder="1" applyAlignment="1" applyProtection="1">
      <alignment horizontal="center" vertical="center" wrapText="1"/>
      <protection hidden="1"/>
    </xf>
    <xf numFmtId="167" fontId="5" fillId="6" borderId="146" xfId="0" applyNumberFormat="1" applyFont="1" applyFill="1" applyBorder="1" applyAlignment="1">
      <alignment horizontal="center" vertical="center"/>
    </xf>
    <xf numFmtId="167" fontId="5" fillId="6" borderId="141" xfId="0" applyNumberFormat="1" applyFont="1" applyFill="1" applyBorder="1" applyAlignment="1">
      <alignment horizontal="center" vertical="center"/>
    </xf>
    <xf numFmtId="0" fontId="2" fillId="0" borderId="140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indent="1"/>
      <protection hidden="1"/>
    </xf>
    <xf numFmtId="0" fontId="84" fillId="13" borderId="0" xfId="0" applyFont="1" applyFill="1" applyAlignment="1" applyProtection="1">
      <alignment horizontal="left" vertical="center" indent="1"/>
      <protection hidden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left" vertical="top" wrapText="1"/>
      <protection hidden="1"/>
    </xf>
    <xf numFmtId="0" fontId="2" fillId="0" borderId="0" xfId="0" applyFont="1" applyAlignment="1" applyProtection="1">
      <alignment horizontal="left" vertical="top"/>
      <protection hidden="1"/>
    </xf>
    <xf numFmtId="0" fontId="2" fillId="0" borderId="0" xfId="0" applyFont="1" applyAlignment="1" applyProtection="1">
      <alignment horizontal="right" indent="1"/>
      <protection hidden="1"/>
    </xf>
    <xf numFmtId="0" fontId="2" fillId="0" borderId="147" xfId="0" applyFont="1" applyBorder="1" applyAlignment="1" applyProtection="1">
      <alignment horizontal="right" indent="1"/>
      <protection hidden="1"/>
    </xf>
    <xf numFmtId="0" fontId="9" fillId="0" borderId="0" xfId="0" applyFont="1" applyAlignment="1">
      <alignment horizontal="center" vertical="center"/>
    </xf>
    <xf numFmtId="167" fontId="2" fillId="0" borderId="145" xfId="0" applyNumberFormat="1" applyFont="1" applyBorder="1" applyAlignment="1" applyProtection="1">
      <alignment horizontal="center" vertical="center"/>
      <protection hidden="1"/>
    </xf>
    <xf numFmtId="167" fontId="2" fillId="0" borderId="163" xfId="0" applyNumberFormat="1" applyFont="1" applyBorder="1" applyAlignment="1" applyProtection="1">
      <alignment horizontal="center" vertical="center"/>
      <protection hidden="1"/>
    </xf>
    <xf numFmtId="0" fontId="5" fillId="0" borderId="139" xfId="0" applyFont="1" applyBorder="1" applyAlignment="1" applyProtection="1">
      <alignment horizontal="left" vertical="center"/>
      <protection hidden="1"/>
    </xf>
    <xf numFmtId="0" fontId="5" fillId="0" borderId="145" xfId="0" applyFont="1" applyBorder="1" applyAlignment="1" applyProtection="1">
      <alignment horizontal="left" vertical="center"/>
      <protection hidden="1"/>
    </xf>
    <xf numFmtId="3" fontId="5" fillId="0" borderId="208" xfId="0" applyNumberFormat="1" applyFont="1" applyBorder="1" applyAlignment="1" applyProtection="1">
      <alignment horizontal="center" vertical="center"/>
      <protection hidden="1"/>
    </xf>
    <xf numFmtId="3" fontId="5" fillId="0" borderId="207" xfId="0" applyNumberFormat="1" applyFont="1" applyBorder="1" applyAlignment="1" applyProtection="1">
      <alignment horizontal="center" vertical="center"/>
      <protection hidden="1"/>
    </xf>
    <xf numFmtId="3" fontId="5" fillId="0" borderId="209" xfId="0" applyNumberFormat="1" applyFont="1" applyBorder="1" applyAlignment="1" applyProtection="1">
      <alignment horizontal="center" vertical="center"/>
      <protection hidden="1"/>
    </xf>
    <xf numFmtId="0" fontId="5" fillId="0" borderId="140" xfId="0" applyFont="1" applyBorder="1" applyAlignment="1" applyProtection="1">
      <alignment horizontal="left" vertical="center" wrapText="1"/>
      <protection hidden="1"/>
    </xf>
    <xf numFmtId="0" fontId="5" fillId="0" borderId="146" xfId="0" applyFont="1" applyBorder="1" applyAlignment="1" applyProtection="1">
      <alignment horizontal="left" vertical="center" wrapText="1"/>
      <protection hidden="1"/>
    </xf>
    <xf numFmtId="1" fontId="2" fillId="0" borderId="143" xfId="0" applyNumberFormat="1" applyFont="1" applyBorder="1" applyAlignment="1" applyProtection="1">
      <alignment horizontal="left" vertical="center"/>
      <protection hidden="1"/>
    </xf>
    <xf numFmtId="169" fontId="2" fillId="0" borderId="143" xfId="0" applyNumberFormat="1" applyFont="1" applyBorder="1" applyAlignment="1" applyProtection="1">
      <alignment horizontal="left" vertical="center"/>
      <protection hidden="1"/>
    </xf>
    <xf numFmtId="169" fontId="2" fillId="0" borderId="0" xfId="0" applyNumberFormat="1" applyFont="1" applyAlignment="1" applyProtection="1">
      <alignment horizontal="left" vertical="center"/>
      <protection hidden="1"/>
    </xf>
    <xf numFmtId="169" fontId="2" fillId="0" borderId="178" xfId="0" applyNumberFormat="1" applyFont="1" applyBorder="1" applyAlignment="1" applyProtection="1">
      <alignment horizontal="left" vertical="center"/>
      <protection hidden="1"/>
    </xf>
    <xf numFmtId="164" fontId="58" fillId="5" borderId="141" xfId="2" applyNumberFormat="1" applyFont="1" applyFill="1" applyBorder="1" applyAlignment="1">
      <alignment horizontal="center" vertical="center"/>
    </xf>
    <xf numFmtId="0" fontId="50" fillId="5" borderId="147" xfId="0" applyFont="1" applyFill="1" applyBorder="1" applyAlignment="1">
      <alignment horizontal="right" vertical="center"/>
    </xf>
    <xf numFmtId="0" fontId="50" fillId="5" borderId="148" xfId="0" applyFont="1" applyFill="1" applyBorder="1" applyAlignment="1">
      <alignment horizontal="right" vertical="center"/>
    </xf>
    <xf numFmtId="0" fontId="50" fillId="5" borderId="140" xfId="0" applyFont="1" applyFill="1" applyBorder="1" applyAlignment="1">
      <alignment horizontal="right" vertical="center"/>
    </xf>
    <xf numFmtId="0" fontId="50" fillId="5" borderId="146" xfId="0" applyFont="1" applyFill="1" applyBorder="1" applyAlignment="1">
      <alignment horizontal="right" vertical="center"/>
    </xf>
    <xf numFmtId="169" fontId="2" fillId="0" borderId="182" xfId="0" applyNumberFormat="1" applyFont="1" applyBorder="1" applyAlignment="1" applyProtection="1">
      <alignment horizontal="left" vertical="center"/>
      <protection hidden="1"/>
    </xf>
    <xf numFmtId="169" fontId="2" fillId="0" borderId="180" xfId="0" applyNumberFormat="1" applyFont="1" applyBorder="1" applyAlignment="1" applyProtection="1">
      <alignment horizontal="left" vertical="center"/>
      <protection hidden="1"/>
    </xf>
    <xf numFmtId="169" fontId="2" fillId="0" borderId="183" xfId="0" applyNumberFormat="1" applyFont="1" applyBorder="1" applyAlignment="1" applyProtection="1">
      <alignment horizontal="left" vertical="center"/>
      <protection hidden="1"/>
    </xf>
    <xf numFmtId="167" fontId="2" fillId="0" borderId="227" xfId="0" applyNumberFormat="1" applyFont="1" applyBorder="1" applyAlignment="1" applyProtection="1">
      <alignment horizontal="center" vertical="center"/>
      <protection hidden="1"/>
    </xf>
    <xf numFmtId="167" fontId="2" fillId="0" borderId="141" xfId="0" applyNumberFormat="1" applyFont="1" applyBorder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6" fillId="13" borderId="225" xfId="0" applyFont="1" applyFill="1" applyBorder="1" applyAlignment="1">
      <alignment horizontal="center" vertical="center" wrapText="1"/>
    </xf>
    <xf numFmtId="0" fontId="86" fillId="13" borderId="0" xfId="0" applyFont="1" applyFill="1" applyAlignment="1">
      <alignment horizontal="center" vertical="center" wrapText="1"/>
    </xf>
    <xf numFmtId="0" fontId="86" fillId="13" borderId="226" xfId="0" applyFont="1" applyFill="1" applyBorder="1" applyAlignment="1">
      <alignment horizontal="center" vertical="center" wrapText="1"/>
    </xf>
    <xf numFmtId="0" fontId="86" fillId="13" borderId="219" xfId="0" applyFont="1" applyFill="1" applyBorder="1" applyAlignment="1" applyProtection="1">
      <alignment horizontal="center" vertical="center" wrapText="1"/>
      <protection hidden="1"/>
    </xf>
    <xf numFmtId="0" fontId="84" fillId="13" borderId="219" xfId="0" applyFont="1" applyFill="1" applyBorder="1" applyAlignment="1" applyProtection="1">
      <alignment horizontal="center" vertical="center"/>
      <protection hidden="1"/>
    </xf>
    <xf numFmtId="0" fontId="84" fillId="13" borderId="220" xfId="0" applyFont="1" applyFill="1" applyBorder="1" applyAlignment="1" applyProtection="1">
      <alignment horizontal="center" vertical="center"/>
      <protection hidden="1"/>
    </xf>
    <xf numFmtId="3" fontId="86" fillId="13" borderId="225" xfId="0" applyNumberFormat="1" applyFont="1" applyFill="1" applyBorder="1" applyAlignment="1" applyProtection="1">
      <alignment horizontal="center" vertical="center" wrapText="1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5" xfId="0" applyFont="1" applyFill="1" applyBorder="1" applyAlignment="1" applyProtection="1">
      <alignment horizontal="center" vertical="center"/>
      <protection hidden="1"/>
    </xf>
    <xf numFmtId="0" fontId="84" fillId="13" borderId="226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top"/>
    </xf>
    <xf numFmtId="0" fontId="2" fillId="3" borderId="142" xfId="0" applyFont="1" applyFill="1" applyBorder="1" applyAlignment="1" applyProtection="1">
      <alignment horizontal="center" vertical="center"/>
      <protection hidden="1"/>
    </xf>
    <xf numFmtId="0" fontId="2" fillId="3" borderId="145" xfId="0" applyFont="1" applyFill="1" applyBorder="1" applyAlignment="1" applyProtection="1">
      <alignment horizontal="center" vertical="center"/>
      <protection hidden="1"/>
    </xf>
    <xf numFmtId="0" fontId="2" fillId="3" borderId="203" xfId="0" applyFont="1" applyFill="1" applyBorder="1" applyAlignment="1" applyProtection="1">
      <alignment horizontal="center" vertical="center"/>
      <protection hidden="1"/>
    </xf>
    <xf numFmtId="0" fontId="84" fillId="13" borderId="188" xfId="0" applyFont="1" applyFill="1" applyBorder="1" applyAlignment="1" applyProtection="1">
      <alignment horizontal="center"/>
      <protection hidden="1"/>
    </xf>
    <xf numFmtId="0" fontId="2" fillId="0" borderId="187" xfId="0" applyFont="1" applyBorder="1" applyAlignment="1" applyProtection="1">
      <alignment horizontal="left" vertical="center"/>
      <protection hidden="1"/>
    </xf>
    <xf numFmtId="0" fontId="84" fillId="13" borderId="185" xfId="0" applyFont="1" applyFill="1" applyBorder="1" applyAlignment="1" applyProtection="1">
      <alignment horizontal="center"/>
      <protection hidden="1"/>
    </xf>
    <xf numFmtId="0" fontId="79" fillId="13" borderId="185" xfId="0" applyFont="1" applyFill="1" applyBorder="1" applyAlignment="1" applyProtection="1">
      <alignment horizontal="left" vertical="center"/>
      <protection hidden="1"/>
    </xf>
    <xf numFmtId="0" fontId="79" fillId="13" borderId="187" xfId="0" applyFont="1" applyFill="1" applyBorder="1" applyAlignment="1" applyProtection="1">
      <alignment horizontal="left" vertical="center"/>
      <protection hidden="1"/>
    </xf>
    <xf numFmtId="0" fontId="79" fillId="13" borderId="0" xfId="0" applyFont="1" applyFill="1" applyAlignment="1" applyProtection="1">
      <alignment horizontal="left" vertical="center"/>
      <protection hidden="1"/>
    </xf>
    <xf numFmtId="0" fontId="79" fillId="13" borderId="187" xfId="0" applyFont="1" applyFill="1" applyBorder="1" applyAlignment="1">
      <alignment horizontal="left" vertical="center"/>
    </xf>
    <xf numFmtId="0" fontId="79" fillId="13" borderId="0" xfId="0" applyFont="1" applyFill="1" applyAlignment="1">
      <alignment horizontal="left" vertical="center"/>
    </xf>
    <xf numFmtId="0" fontId="5" fillId="7" borderId="135" xfId="0" applyFont="1" applyFill="1" applyBorder="1" applyAlignment="1" applyProtection="1">
      <alignment horizontal="left" vertical="center" wrapText="1"/>
      <protection locked="0"/>
    </xf>
    <xf numFmtId="0" fontId="5" fillId="7" borderId="131" xfId="0" applyFont="1" applyFill="1" applyBorder="1" applyAlignment="1" applyProtection="1">
      <alignment horizontal="left" vertical="center" wrapText="1"/>
      <protection locked="0"/>
    </xf>
    <xf numFmtId="0" fontId="5" fillId="7" borderId="197" xfId="0" applyFont="1" applyFill="1" applyBorder="1" applyAlignment="1" applyProtection="1">
      <alignment horizontal="left" vertical="center" wrapText="1"/>
      <protection locked="0"/>
    </xf>
    <xf numFmtId="0" fontId="5" fillId="7" borderId="136" xfId="0" applyFont="1" applyFill="1" applyBorder="1" applyAlignment="1" applyProtection="1">
      <alignment horizontal="left" vertical="center" wrapText="1"/>
      <protection locked="0"/>
    </xf>
    <xf numFmtId="0" fontId="5" fillId="7" borderId="130" xfId="0" applyFont="1" applyFill="1" applyBorder="1" applyAlignment="1" applyProtection="1">
      <alignment horizontal="left" vertical="center" wrapText="1"/>
      <protection locked="0"/>
    </xf>
    <xf numFmtId="0" fontId="5" fillId="7" borderId="198" xfId="0" applyFont="1" applyFill="1" applyBorder="1" applyAlignment="1" applyProtection="1">
      <alignment horizontal="left" vertical="center" wrapText="1"/>
      <protection locked="0"/>
    </xf>
    <xf numFmtId="0" fontId="1" fillId="0" borderId="131" xfId="0" applyFont="1" applyBorder="1" applyAlignment="1">
      <alignment horizontal="left" vertical="center" wrapText="1"/>
    </xf>
    <xf numFmtId="0" fontId="1" fillId="0" borderId="197" xfId="0" applyFont="1" applyBorder="1" applyAlignment="1">
      <alignment horizontal="left" vertical="center" wrapText="1"/>
    </xf>
    <xf numFmtId="0" fontId="1" fillId="0" borderId="202" xfId="0" applyFont="1" applyBorder="1" applyAlignment="1">
      <alignment horizontal="left" vertical="center" wrapText="1"/>
    </xf>
    <xf numFmtId="0" fontId="1" fillId="0" borderId="192" xfId="0" applyFont="1" applyBorder="1" applyAlignment="1">
      <alignment horizontal="left" vertical="center" wrapText="1"/>
    </xf>
    <xf numFmtId="0" fontId="1" fillId="0" borderId="194" xfId="0" applyFont="1" applyBorder="1" applyAlignment="1">
      <alignment horizontal="left" vertical="center" wrapText="1"/>
    </xf>
    <xf numFmtId="0" fontId="1" fillId="0" borderId="202" xfId="0" applyFont="1" applyBorder="1" applyAlignment="1">
      <alignment horizontal="center" vertical="center" wrapText="1"/>
    </xf>
    <xf numFmtId="0" fontId="5" fillId="7" borderId="202" xfId="0" applyFont="1" applyFill="1" applyBorder="1" applyAlignment="1" applyProtection="1">
      <alignment horizontal="left" vertical="center"/>
      <protection locked="0"/>
    </xf>
    <xf numFmtId="0" fontId="5" fillId="7" borderId="192" xfId="0" applyFont="1" applyFill="1" applyBorder="1" applyAlignment="1" applyProtection="1">
      <alignment horizontal="left" vertical="center"/>
      <protection locked="0"/>
    </xf>
    <xf numFmtId="0" fontId="84" fillId="13" borderId="186" xfId="0" applyFont="1" applyFill="1" applyBorder="1" applyAlignment="1" applyProtection="1">
      <alignment horizontal="center"/>
      <protection hidden="1"/>
    </xf>
    <xf numFmtId="0" fontId="2" fillId="0" borderId="148" xfId="0" applyFont="1" applyBorder="1" applyAlignment="1" applyProtection="1">
      <alignment horizontal="left" vertical="center" wrapText="1"/>
      <protection hidden="1"/>
    </xf>
    <xf numFmtId="0" fontId="2" fillId="0" borderId="145" xfId="0" applyFont="1" applyBorder="1" applyAlignment="1" applyProtection="1">
      <alignment horizontal="left" vertical="center" wrapText="1"/>
      <protection hidden="1"/>
    </xf>
    <xf numFmtId="0" fontId="5" fillId="0" borderId="205" xfId="0" applyFont="1" applyBorder="1" applyAlignment="1" applyProtection="1">
      <alignment horizontal="center" vertical="center"/>
      <protection hidden="1"/>
    </xf>
    <xf numFmtId="0" fontId="5" fillId="0" borderId="189" xfId="0" applyFont="1" applyBorder="1" applyAlignment="1" applyProtection="1">
      <alignment horizontal="center" vertical="center"/>
      <protection hidden="1"/>
    </xf>
    <xf numFmtId="166" fontId="2" fillId="0" borderId="141" xfId="0" applyNumberFormat="1" applyFont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 wrapText="1"/>
      <protection hidden="1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right" shrinkToFit="1"/>
      <protection hidden="1"/>
    </xf>
    <xf numFmtId="167" fontId="5" fillId="0" borderId="153" xfId="0" applyNumberFormat="1" applyFont="1" applyBorder="1" applyAlignment="1" applyProtection="1">
      <alignment horizontal="center" vertical="center"/>
      <protection hidden="1"/>
    </xf>
    <xf numFmtId="167" fontId="5" fillId="0" borderId="206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 applyProtection="1">
      <alignment horizontal="right" vertical="center"/>
      <protection hidden="1"/>
    </xf>
    <xf numFmtId="0" fontId="2" fillId="0" borderId="147" xfId="0" applyFont="1" applyBorder="1" applyAlignment="1" applyProtection="1">
      <alignment horizontal="right" vertical="center" indent="1"/>
      <protection hidden="1"/>
    </xf>
    <xf numFmtId="0" fontId="2" fillId="0" borderId="148" xfId="0" applyFont="1" applyBorder="1" applyAlignment="1" applyProtection="1">
      <alignment horizontal="right" vertical="center" indent="1"/>
      <protection hidden="1"/>
    </xf>
    <xf numFmtId="167" fontId="73" fillId="0" borderId="152" xfId="0" applyNumberFormat="1" applyFont="1" applyBorder="1" applyAlignment="1" applyProtection="1">
      <alignment horizontal="right" vertical="center"/>
      <protection hidden="1"/>
    </xf>
    <xf numFmtId="167" fontId="73" fillId="0" borderId="151" xfId="0" applyNumberFormat="1" applyFont="1" applyBorder="1" applyAlignment="1" applyProtection="1">
      <alignment horizontal="right" vertical="center"/>
      <protection hidden="1"/>
    </xf>
    <xf numFmtId="166" fontId="2" fillId="0" borderId="204" xfId="0" applyNumberFormat="1" applyFont="1" applyBorder="1" applyAlignment="1" applyProtection="1">
      <alignment horizontal="center" vertical="center"/>
      <protection hidden="1"/>
    </xf>
    <xf numFmtId="167" fontId="13" fillId="5" borderId="141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left" vertical="center" wrapText="1" indent="1"/>
    </xf>
    <xf numFmtId="167" fontId="2" fillId="0" borderId="249" xfId="0" applyNumberFormat="1" applyFont="1" applyBorder="1" applyAlignment="1" applyProtection="1">
      <alignment horizontal="center" vertical="center"/>
      <protection hidden="1"/>
    </xf>
    <xf numFmtId="167" fontId="5" fillId="0" borderId="223" xfId="0" applyNumberFormat="1" applyFont="1" applyBorder="1" applyAlignment="1" applyProtection="1">
      <alignment horizontal="center" vertical="center"/>
      <protection hidden="1"/>
    </xf>
    <xf numFmtId="167" fontId="5" fillId="0" borderId="165" xfId="0" applyNumberFormat="1" applyFont="1" applyBorder="1" applyAlignment="1" applyProtection="1">
      <alignment horizontal="center" vertical="center"/>
      <protection hidden="1"/>
    </xf>
    <xf numFmtId="167" fontId="5" fillId="0" borderId="229" xfId="0" applyNumberFormat="1" applyFont="1" applyBorder="1" applyAlignment="1" applyProtection="1">
      <alignment horizontal="center" vertical="center"/>
      <protection hidden="1"/>
    </xf>
    <xf numFmtId="167" fontId="2" fillId="0" borderId="146" xfId="0" applyNumberFormat="1" applyFont="1" applyBorder="1" applyAlignment="1" applyProtection="1">
      <alignment horizontal="center" vertical="center"/>
      <protection hidden="1"/>
    </xf>
    <xf numFmtId="0" fontId="5" fillId="7" borderId="177" xfId="0" applyFont="1" applyFill="1" applyBorder="1" applyAlignment="1" applyProtection="1">
      <alignment horizontal="left" vertical="top" wrapText="1"/>
      <protection locked="0"/>
    </xf>
    <xf numFmtId="0" fontId="0" fillId="0" borderId="144" xfId="0" applyBorder="1" applyAlignment="1" applyProtection="1">
      <alignment horizontal="left" vertical="top" wrapText="1"/>
      <protection locked="0"/>
    </xf>
    <xf numFmtId="0" fontId="0" fillId="0" borderId="177" xfId="0" applyBorder="1" applyAlignment="1" applyProtection="1">
      <alignment horizontal="left" vertical="top" wrapText="1"/>
      <protection locked="0"/>
    </xf>
    <xf numFmtId="0" fontId="0" fillId="0" borderId="179" xfId="0" applyBorder="1" applyAlignment="1" applyProtection="1">
      <alignment horizontal="left" vertical="top" wrapText="1"/>
      <protection locked="0"/>
    </xf>
    <xf numFmtId="0" fontId="0" fillId="0" borderId="180" xfId="0" applyBorder="1" applyAlignment="1" applyProtection="1">
      <alignment horizontal="left" vertical="top" wrapText="1"/>
      <protection locked="0"/>
    </xf>
    <xf numFmtId="0" fontId="0" fillId="0" borderId="181" xfId="0" applyBorder="1" applyAlignment="1" applyProtection="1">
      <alignment horizontal="left" vertical="top" wrapText="1"/>
      <protection locked="0"/>
    </xf>
    <xf numFmtId="0" fontId="4" fillId="0" borderId="0" xfId="0" applyFont="1" applyAlignment="1" applyProtection="1">
      <alignment horizontal="center" vertical="center" wrapText="1"/>
      <protection hidden="1"/>
    </xf>
    <xf numFmtId="0" fontId="9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3" fontId="10" fillId="0" borderId="0" xfId="0" applyNumberFormat="1" applyFont="1" applyAlignment="1" applyProtection="1">
      <alignment horizontal="center" vertical="center"/>
      <protection hidden="1"/>
    </xf>
    <xf numFmtId="167" fontId="10" fillId="0" borderId="20" xfId="0" applyNumberFormat="1" applyFont="1" applyBorder="1" applyAlignment="1">
      <alignment horizontal="center"/>
    </xf>
    <xf numFmtId="167" fontId="10" fillId="0" borderId="44" xfId="0" applyNumberFormat="1" applyFont="1" applyBorder="1" applyAlignment="1">
      <alignment horizontal="center"/>
    </xf>
    <xf numFmtId="2" fontId="4" fillId="3" borderId="41" xfId="0" applyNumberFormat="1" applyFont="1" applyFill="1" applyBorder="1" applyAlignment="1">
      <alignment horizontal="center"/>
    </xf>
    <xf numFmtId="2" fontId="4" fillId="3" borderId="70" xfId="0" applyNumberFormat="1" applyFont="1" applyFill="1" applyBorder="1" applyAlignment="1">
      <alignment horizontal="center"/>
    </xf>
    <xf numFmtId="0" fontId="4" fillId="3" borderId="12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3" borderId="41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70" xfId="0" applyFont="1" applyFill="1" applyBorder="1" applyAlignment="1">
      <alignment horizontal="center" vertical="center"/>
    </xf>
    <xf numFmtId="3" fontId="4" fillId="3" borderId="12" xfId="0" applyNumberFormat="1" applyFont="1" applyFill="1" applyBorder="1" applyAlignment="1">
      <alignment horizontal="center"/>
    </xf>
    <xf numFmtId="3" fontId="4" fillId="3" borderId="2" xfId="0" applyNumberFormat="1" applyFont="1" applyFill="1" applyBorder="1" applyAlignment="1">
      <alignment horizontal="center"/>
    </xf>
    <xf numFmtId="3" fontId="4" fillId="3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3" borderId="1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1" fontId="4" fillId="0" borderId="0" xfId="0" applyNumberFormat="1" applyFont="1" applyAlignment="1" applyProtection="1">
      <alignment horizontal="right"/>
      <protection hidden="1"/>
    </xf>
    <xf numFmtId="3" fontId="10" fillId="0" borderId="23" xfId="0" applyNumberFormat="1" applyFont="1" applyBorder="1" applyAlignment="1">
      <alignment horizontal="center" vertical="center"/>
    </xf>
    <xf numFmtId="3" fontId="10" fillId="0" borderId="60" xfId="0" applyNumberFormat="1" applyFont="1" applyBorder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4" fillId="3" borderId="68" xfId="0" applyFont="1" applyFill="1" applyBorder="1" applyAlignment="1">
      <alignment horizontal="center"/>
    </xf>
    <xf numFmtId="167" fontId="0" fillId="0" borderId="0" xfId="0" applyNumberFormat="1"/>
    <xf numFmtId="167" fontId="10" fillId="0" borderId="0" xfId="0" applyNumberFormat="1" applyFont="1" applyAlignment="1">
      <alignment horizontal="center"/>
    </xf>
  </cellXfs>
  <cellStyles count="3">
    <cellStyle name="Normaali" xfId="0" builtinId="0"/>
    <cellStyle name="Normaali 13" xfId="1" xr:uid="{00000000-0005-0000-0000-000002000000}"/>
    <cellStyle name="Prosenttia" xfId="2" builtinId="5"/>
  </cellStyles>
  <dxfs count="53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33CC33"/>
      <color rgb="FF0152A1"/>
      <color rgb="FFFFFFCC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Kaavio!$C$3:$H$3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Kaavio!$C$4:$H$4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Kaavio!$C$5:$H$5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Kaavio!$C$27:$H$27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Kaavio!$C$29:$H$29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'!$C$54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'!$G$9:$R$9</c:f>
              <c:numCache>
                <c:formatCode>mmm\-yy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45354</c:v>
                </c:pt>
                <c:pt idx="3">
                  <c:v>45385</c:v>
                </c:pt>
                <c:pt idx="4">
                  <c:v>45416</c:v>
                </c:pt>
                <c:pt idx="5">
                  <c:v>45447</c:v>
                </c:pt>
                <c:pt idx="6">
                  <c:v>45478</c:v>
                </c:pt>
                <c:pt idx="7">
                  <c:v>45509</c:v>
                </c:pt>
                <c:pt idx="8">
                  <c:v>45540</c:v>
                </c:pt>
                <c:pt idx="9">
                  <c:v>45571</c:v>
                </c:pt>
                <c:pt idx="10">
                  <c:v>45602</c:v>
                </c:pt>
                <c:pt idx="11">
                  <c:v>45633</c:v>
                </c:pt>
              </c:numCache>
            </c:numRef>
          </c:cat>
          <c:val>
            <c:numRef>
              <c:f>'9. T5 KASSABUDJETTI '!$G$54:$R$54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'!$C$55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'!$G$9:$R$9</c:f>
              <c:numCache>
                <c:formatCode>mmm\-yy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45354</c:v>
                </c:pt>
                <c:pt idx="3">
                  <c:v>45385</c:v>
                </c:pt>
                <c:pt idx="4">
                  <c:v>45416</c:v>
                </c:pt>
                <c:pt idx="5">
                  <c:v>45447</c:v>
                </c:pt>
                <c:pt idx="6">
                  <c:v>45478</c:v>
                </c:pt>
                <c:pt idx="7">
                  <c:v>45509</c:v>
                </c:pt>
                <c:pt idx="8">
                  <c:v>45540</c:v>
                </c:pt>
                <c:pt idx="9">
                  <c:v>45571</c:v>
                </c:pt>
                <c:pt idx="10">
                  <c:v>45602</c:v>
                </c:pt>
                <c:pt idx="11">
                  <c:v>45633</c:v>
                </c:pt>
              </c:numCache>
            </c:numRef>
          </c:cat>
          <c:val>
            <c:numRef>
              <c:f>'9. T5 KASSABUDJETTI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4985496554383737E-2"/>
          <c:y val="0.15365867579908674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Kaavio!$C$3:$H$3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Kaavio!$C$4:$H$4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Kaavio!$C$5:$H$5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4042938551433222"/>
          <c:y val="3.74142748285496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727735091981474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Kaavio!$C$52:$H$52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Kaavio!$C$53:$H$53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Kaavio!$C$54:$H$54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8478576153707369"/>
          <c:y val="0.90927601416074433"/>
          <c:w val="0.40911427776247133"/>
          <c:h val="8.111090842067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Kaavio!$C$27:$H$27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Kaavio!$C$28:$H$28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Kaavio!$C$29:$H$29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Kaavio!$C$30:$H$30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e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9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19.png"/><Relationship Id="rId26" Type="http://schemas.openxmlformats.org/officeDocument/2006/relationships/image" Target="../media/image125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1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5.png"/><Relationship Id="rId17" Type="http://schemas.openxmlformats.org/officeDocument/2006/relationships/image" Target="../media/image118.png"/><Relationship Id="rId25" Type="http://schemas.openxmlformats.org/officeDocument/2006/relationships/image" Target="../media/image124.jpeg"/><Relationship Id="rId2" Type="http://schemas.openxmlformats.org/officeDocument/2006/relationships/chart" Target="../charts/chart5.xml"/><Relationship Id="rId16" Type="http://schemas.openxmlformats.org/officeDocument/2006/relationships/image" Target="../media/image117.png"/><Relationship Id="rId20" Type="http://schemas.openxmlformats.org/officeDocument/2006/relationships/image" Target="../media/image120.png"/><Relationship Id="rId1" Type="http://schemas.openxmlformats.org/officeDocument/2006/relationships/chart" Target="../charts/chart4.xml"/><Relationship Id="rId6" Type="http://schemas.openxmlformats.org/officeDocument/2006/relationships/image" Target="../media/image112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3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7.jpeg"/><Relationship Id="rId10" Type="http://schemas.openxmlformats.org/officeDocument/2006/relationships/image" Target="../media/image114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1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6.png"/><Relationship Id="rId22" Type="http://schemas.openxmlformats.org/officeDocument/2006/relationships/image" Target="../media/image122.svg"/><Relationship Id="rId27" Type="http://schemas.openxmlformats.org/officeDocument/2006/relationships/image" Target="../media/image12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5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1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4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0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51.png"/><Relationship Id="rId28" Type="http://schemas.openxmlformats.org/officeDocument/2006/relationships/image" Target="../media/image77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79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6.png"/><Relationship Id="rId30" Type="http://schemas.openxmlformats.org/officeDocument/2006/relationships/image" Target="../media/image78.png"/><Relationship Id="rId35" Type="http://schemas.openxmlformats.org/officeDocument/2006/relationships/image" Target="../media/image82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3.png"/><Relationship Id="rId12" Type="http://schemas.openxmlformats.org/officeDocument/2006/relationships/image" Target="../media/image85.png"/><Relationship Id="rId17" Type="http://schemas.openxmlformats.org/officeDocument/2006/relationships/image" Target="../media/image88.png"/><Relationship Id="rId2" Type="http://schemas.openxmlformats.org/officeDocument/2006/relationships/image" Target="../media/image8.png"/><Relationship Id="rId16" Type="http://schemas.openxmlformats.org/officeDocument/2006/relationships/image" Target="../media/image87.png"/><Relationship Id="rId20" Type="http://schemas.openxmlformats.org/officeDocument/2006/relationships/image" Target="../media/image90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4.png"/><Relationship Id="rId19" Type="http://schemas.openxmlformats.org/officeDocument/2006/relationships/image" Target="../media/image89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4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2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1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3.png"/><Relationship Id="rId14" Type="http://schemas.openxmlformats.org/officeDocument/2006/relationships/image" Target="../media/image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161426</xdr:colOff>
      <xdr:row>22</xdr:row>
      <xdr:rowOff>103597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158611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480033</xdr:colOff>
      <xdr:row>6</xdr:row>
      <xdr:rowOff>141506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44250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62756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28714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100300</xdr:colOff>
      <xdr:row>20</xdr:row>
      <xdr:rowOff>373400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506122</xdr:colOff>
      <xdr:row>20</xdr:row>
      <xdr:rowOff>387496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87632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49500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27975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twoCellAnchor>
    <xdr:from>
      <xdr:col>7</xdr:col>
      <xdr:colOff>212272</xdr:colOff>
      <xdr:row>10</xdr:row>
      <xdr:rowOff>146957</xdr:rowOff>
    </xdr:from>
    <xdr:to>
      <xdr:col>11</xdr:col>
      <xdr:colOff>647700</xdr:colOff>
      <xdr:row>22</xdr:row>
      <xdr:rowOff>8072</xdr:rowOff>
    </xdr:to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364186" y="2432957"/>
          <a:ext cx="2797628" cy="3126829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•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investoinnin kannattavuuden ja 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rahoituksen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yrityksen arvon, kunnon ja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kriisitilanteessa arvioidaan yrityksen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voit aloittaa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161923</xdr:colOff>
      <xdr:row>0</xdr:row>
      <xdr:rowOff>38101</xdr:rowOff>
    </xdr:from>
    <xdr:to>
      <xdr:col>11</xdr:col>
      <xdr:colOff>685664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489903</xdr:colOff>
      <xdr:row>0</xdr:row>
      <xdr:rowOff>112807</xdr:rowOff>
    </xdr:from>
    <xdr:to>
      <xdr:col>10</xdr:col>
      <xdr:colOff>301760</xdr:colOff>
      <xdr:row>3</xdr:row>
      <xdr:rowOff>23043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774" y="112807"/>
          <a:ext cx="992957" cy="405536"/>
        </a:xfrm>
        <a:prstGeom prst="rect">
          <a:avLst/>
        </a:prstGeom>
      </xdr:spPr>
    </xdr:pic>
    <xdr:clientData/>
  </xdr:twoCellAnchor>
  <xdr:twoCellAnchor>
    <xdr:from>
      <xdr:col>8</xdr:col>
      <xdr:colOff>500745</xdr:colOff>
      <xdr:row>4</xdr:row>
      <xdr:rowOff>353785</xdr:rowOff>
    </xdr:from>
    <xdr:to>
      <xdr:col>10</xdr:col>
      <xdr:colOff>451759</xdr:colOff>
      <xdr:row>6</xdr:row>
      <xdr:rowOff>125185</xdr:rowOff>
    </xdr:to>
    <xdr:sp macro="" textlink="">
      <xdr:nvSpPr>
        <xdr:cNvPr id="18" name="Tekstiruutu 17">
          <a:extLst>
            <a:ext uri="{FF2B5EF4-FFF2-40B4-BE49-F238E27FC236}">
              <a16:creationId xmlns:a16="http://schemas.microsoft.com/office/drawing/2014/main" id="{0FE2CEB9-F114-81B8-B951-C2AE0B365BFD}"/>
            </a:ext>
          </a:extLst>
        </xdr:cNvPr>
        <xdr:cNvSpPr txBox="1"/>
      </xdr:nvSpPr>
      <xdr:spPr>
        <a:xfrm>
          <a:off x="8180616" y="1006928"/>
          <a:ext cx="1132114" cy="315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800" b="1">
              <a:latin typeface="Arial" panose="020B0604020202020204" pitchFamily="34" charset="0"/>
              <a:cs typeface="Arial" panose="020B0604020202020204" pitchFamily="34" charset="0"/>
            </a:rPr>
            <a:t>Palvelun tarjoaa</a:t>
          </a:r>
        </a:p>
      </xdr:txBody>
    </xdr:sp>
    <xdr:clientData/>
  </xdr:twoCellAnchor>
  <xdr:twoCellAnchor editAs="oneCell">
    <xdr:from>
      <xdr:col>8</xdr:col>
      <xdr:colOff>87087</xdr:colOff>
      <xdr:row>6</xdr:row>
      <xdr:rowOff>38102</xdr:rowOff>
    </xdr:from>
    <xdr:to>
      <xdr:col>11</xdr:col>
      <xdr:colOff>157305</xdr:colOff>
      <xdr:row>6</xdr:row>
      <xdr:rowOff>315686</xdr:rowOff>
    </xdr:to>
    <xdr:pic>
      <xdr:nvPicPr>
        <xdr:cNvPr id="47" name="Kuva 46">
          <a:extLst>
            <a:ext uri="{FF2B5EF4-FFF2-40B4-BE49-F238E27FC236}">
              <a16:creationId xmlns:a16="http://schemas.microsoft.com/office/drawing/2014/main" id="{C990D8A5-177E-873B-ED43-E27F12563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958" y="1235531"/>
          <a:ext cx="1904461" cy="2775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64</xdr:row>
      <xdr:rowOff>62865</xdr:rowOff>
    </xdr:from>
    <xdr:to>
      <xdr:col>18</xdr:col>
      <xdr:colOff>217169</xdr:colOff>
      <xdr:row>91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817245</xdr:colOff>
      <xdr:row>0</xdr:row>
      <xdr:rowOff>49529</xdr:rowOff>
    </xdr:from>
    <xdr:ext cx="9780271" cy="1855471"/>
    <xdr:sp macro="" textlink="">
      <xdr:nvSpPr>
        <xdr:cNvPr id="33" name="AutoShape 189">
          <a:extLst>
            <a:ext uri="{FF2B5EF4-FFF2-40B4-BE49-F238E27FC236}">
              <a16:creationId xmlns:a16="http://schemas.microsoft.com/office/drawing/2014/main" id="{298C631E-9C83-4D87-BA9C-5D23492418AB}"/>
            </a:ext>
          </a:extLst>
        </xdr:cNvPr>
        <xdr:cNvSpPr>
          <a:spLocks noChangeArrowheads="1"/>
        </xdr:cNvSpPr>
      </xdr:nvSpPr>
      <xdr:spPr bwMode="auto">
        <a:xfrm>
          <a:off x="1998345" y="49529"/>
          <a:ext cx="9780271" cy="1855471"/>
        </a:xfrm>
        <a:prstGeom prst="foldedCorner">
          <a:avLst>
            <a:gd name="adj" fmla="val 12500"/>
          </a:avLst>
        </a:prstGeom>
        <a:solidFill>
          <a:srgbClr val="FFC000">
            <a:alpha val="88000"/>
          </a:srgbClr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144000" tIns="36000" rIns="14400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OHJE 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Voit tehdä kassabudjetin ensimmäisellä tai toiselle vuodelle. Huom. Jos teet molemmille vuosille, tallenna toinen vuosi omaksi tiedostoksi.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Tärkeää! Arvioi käteis- ja laskutusmyynnin kuukausijakautuma prosentteina eli montako prosenttia on myynti eri kuukausina vuoden myynnistä (100%).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Mikäli myyt eri arvonlisäkantoja, arvioi alv-% keskimäärin.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Korjaa lainanlyhennykset tarvittaessa, ohjelma arvioi lainoja maksettavan kaksi kertaa vuodessa.  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LISÄÄ KOHTAAN 4: 1. T1 INVESTOINTISUUNNITELMAn kohdasta 14 Muu oma rahoitus, kaluston myyntitulot.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LISÄÄ KOHTAAN 9: 1. T1 INVESTOINTISUUNNITELMAsta sis. alv -investoinnit. Vähennä summasta leasingrahoitus.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LISÄÄ KOHTAAN 23: 1. T1 INVESTOINTISUUNNITELMAsta alv 0 %-investoinnit. Vähennä summasta leasingrahoitus.</a:t>
          </a:r>
          <a:endParaRPr lang="fi-FI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LISÄÄ KOHTAAN 30 YKSITYISOTOT / OSINGONMAKSUT.</a:t>
          </a:r>
        </a:p>
      </xdr:txBody>
    </xdr:sp>
    <xdr:clientData fLocksWithSheet="0" fPrintsWithSheet="0"/>
  </xdr:oneCellAnchor>
  <xdr:twoCellAnchor>
    <xdr:from>
      <xdr:col>0</xdr:col>
      <xdr:colOff>135880</xdr:colOff>
      <xdr:row>42</xdr:row>
      <xdr:rowOff>159349</xdr:rowOff>
    </xdr:from>
    <xdr:to>
      <xdr:col>0</xdr:col>
      <xdr:colOff>551038</xdr:colOff>
      <xdr:row>46</xdr:row>
      <xdr:rowOff>35007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5880" y="8203892"/>
          <a:ext cx="415158" cy="425386"/>
        </a:xfrm>
        <a:prstGeom prst="rect">
          <a:avLst/>
        </a:prstGeom>
      </xdr:spPr>
    </xdr:pic>
    <xdr:clientData/>
  </xdr:twoCellAnchor>
  <xdr:twoCellAnchor>
    <xdr:from>
      <xdr:col>0</xdr:col>
      <xdr:colOff>174410</xdr:colOff>
      <xdr:row>37</xdr:row>
      <xdr:rowOff>151844</xdr:rowOff>
    </xdr:from>
    <xdr:to>
      <xdr:col>0</xdr:col>
      <xdr:colOff>534410</xdr:colOff>
      <xdr:row>40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10" y="7366445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35</xdr:row>
      <xdr:rowOff>59249</xdr:rowOff>
    </xdr:from>
    <xdr:to>
      <xdr:col>0</xdr:col>
      <xdr:colOff>528673</xdr:colOff>
      <xdr:row>37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30</xdr:row>
      <xdr:rowOff>41217</xdr:rowOff>
    </xdr:from>
    <xdr:to>
      <xdr:col>0</xdr:col>
      <xdr:colOff>526958</xdr:colOff>
      <xdr:row>32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27</xdr:row>
      <xdr:rowOff>110802</xdr:rowOff>
    </xdr:from>
    <xdr:to>
      <xdr:col>0</xdr:col>
      <xdr:colOff>520696</xdr:colOff>
      <xdr:row>29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25</xdr:row>
      <xdr:rowOff>24007</xdr:rowOff>
    </xdr:from>
    <xdr:to>
      <xdr:col>0</xdr:col>
      <xdr:colOff>513031</xdr:colOff>
      <xdr:row>27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22</xdr:row>
      <xdr:rowOff>99225</xdr:rowOff>
    </xdr:from>
    <xdr:to>
      <xdr:col>0</xdr:col>
      <xdr:colOff>512752</xdr:colOff>
      <xdr:row>24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139310</xdr:colOff>
      <xdr:row>20</xdr:row>
      <xdr:rowOff>36740</xdr:rowOff>
    </xdr:from>
    <xdr:to>
      <xdr:col>0</xdr:col>
      <xdr:colOff>499310</xdr:colOff>
      <xdr:row>22</xdr:row>
      <xdr:rowOff>64725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10" y="459241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32</xdr:row>
      <xdr:rowOff>130769</xdr:rowOff>
    </xdr:from>
    <xdr:to>
      <xdr:col>0</xdr:col>
      <xdr:colOff>521970</xdr:colOff>
      <xdr:row>35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618701</xdr:colOff>
      <xdr:row>6</xdr:row>
      <xdr:rowOff>104566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58</xdr:row>
      <xdr:rowOff>157370</xdr:rowOff>
    </xdr:from>
    <xdr:to>
      <xdr:col>18</xdr:col>
      <xdr:colOff>494299</xdr:colOff>
      <xdr:row>61</xdr:row>
      <xdr:rowOff>123701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171167</xdr:colOff>
      <xdr:row>40</xdr:row>
      <xdr:rowOff>68128</xdr:rowOff>
    </xdr:from>
    <xdr:to>
      <xdr:col>0</xdr:col>
      <xdr:colOff>531167</xdr:colOff>
      <xdr:row>42</xdr:row>
      <xdr:rowOff>112630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67" y="7755694"/>
          <a:ext cx="360000" cy="3598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186855</xdr:colOff>
      <xdr:row>21</xdr:row>
      <xdr:rowOff>35988</xdr:rowOff>
    </xdr:from>
    <xdr:to>
      <xdr:col>51</xdr:col>
      <xdr:colOff>0</xdr:colOff>
      <xdr:row>39</xdr:row>
      <xdr:rowOff>22693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8614</xdr:colOff>
      <xdr:row>59</xdr:row>
      <xdr:rowOff>45721</xdr:rowOff>
    </xdr:from>
    <xdr:to>
      <xdr:col>51</xdr:col>
      <xdr:colOff>7620</xdr:colOff>
      <xdr:row>77</xdr:row>
      <xdr:rowOff>41911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44</xdr:row>
      <xdr:rowOff>19055</xdr:rowOff>
    </xdr:from>
    <xdr:to>
      <xdr:col>0</xdr:col>
      <xdr:colOff>548508</xdr:colOff>
      <xdr:row>47</xdr:row>
      <xdr:rowOff>4931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3350" y="21116930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0</xdr:colOff>
      <xdr:row>39</xdr:row>
      <xdr:rowOff>114300</xdr:rowOff>
    </xdr:from>
    <xdr:to>
      <xdr:col>50</xdr:col>
      <xdr:colOff>772436</xdr:colOff>
      <xdr:row>58</xdr:row>
      <xdr:rowOff>83820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350741</xdr:colOff>
      <xdr:row>79</xdr:row>
      <xdr:rowOff>122108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693641</xdr:colOff>
      <xdr:row>79</xdr:row>
      <xdr:rowOff>122108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79</xdr:row>
      <xdr:rowOff>122108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731741</xdr:colOff>
      <xdr:row>79</xdr:row>
      <xdr:rowOff>122108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</xdr:col>
      <xdr:colOff>5444</xdr:colOff>
      <xdr:row>1</xdr:row>
      <xdr:rowOff>65315</xdr:rowOff>
    </xdr:from>
    <xdr:to>
      <xdr:col>2</xdr:col>
      <xdr:colOff>1262744</xdr:colOff>
      <xdr:row>2</xdr:row>
      <xdr:rowOff>60101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01D5CB42-5E7A-48FA-87C3-A1F697DF9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115" y="223158"/>
          <a:ext cx="1420586" cy="2070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52379</xdr:colOff>
      <xdr:row>6</xdr:row>
      <xdr:rowOff>67319</xdr:rowOff>
    </xdr:from>
    <xdr:to>
      <xdr:col>18</xdr:col>
      <xdr:colOff>582706</xdr:colOff>
      <xdr:row>40</xdr:row>
      <xdr:rowOff>5031</xdr:rowOff>
    </xdr:to>
    <xdr:sp macro="" textlink="">
      <xdr:nvSpPr>
        <xdr:cNvPr id="29" name="AutoShape 189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rrowheads="1"/>
        </xdr:cNvSpPr>
      </xdr:nvSpPr>
      <xdr:spPr bwMode="auto">
        <a:xfrm>
          <a:off x="8273014" y="918966"/>
          <a:ext cx="6267739" cy="5782700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TÄYTÄ TAULUKOT TOISEEN NUMEROJÄRJESTYKSESSÄ, NUMEROT VASEMMALLA!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INVESTOINNIT TEHDÄÄN YLEENSÄ ALV-HINNOIN! </a:t>
          </a:r>
          <a:b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strike="noStrike" baseline="0">
              <a:solidFill>
                <a:srgbClr val="FF0000"/>
              </a:solidFill>
              <a:latin typeface="Arial"/>
              <a:cs typeface="Arial"/>
            </a:rPr>
            <a:t>KIRJOITA LUVUT ILMAN SENTTEJÄ KOKONAISLUKUINA!</a:t>
          </a:r>
          <a:b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r>
            <a:rPr lang="fi-FI" sz="1050" b="0" i="0" strike="noStrike" baseline="0">
              <a:solidFill>
                <a:srgbClr val="000000"/>
              </a:solidFill>
              <a:latin typeface="Arial"/>
              <a:cs typeface="Arial"/>
            </a:rPr>
            <a:t>Laskentaohjelmassa täytetään vain keltaisia ruutuja (soluja). Muut solut ovat tarkoituksella lukittu. Laskennan edetessä ohjelma laskee lukittuihin soluihin arvoja. Täytä sivu kerrallaan seuraamalla vasemman reunan numerointia.</a:t>
          </a:r>
        </a:p>
        <a:p>
          <a:pPr algn="l" rtl="0">
            <a:lnSpc>
              <a:spcPts val="1300"/>
            </a:lnSpc>
            <a:defRPr sz="1000"/>
          </a:pPr>
          <a:b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Mikäli investointeja ei tehdä voit siirtyä suoraan kohtaan 2. T2 TULOSSUUNNNITELMA</a:t>
          </a:r>
          <a:b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Rivit 1 - 7: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Investoinnit on arvioitava toteutumisajankohdan mukaisesti.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Rivi 9: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Käyttöpääoman lisäyksellä tarkoitetaan investoinnin aiheuttamaa pysyvää käyttöpääoman</a:t>
          </a:r>
          <a:b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            lisätarvetta. 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Käyttöpääoma =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Vaihto-omaisuus + myyntisaamiset - ostovelat - saadut ennakkomaksut.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Rivi 11: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Oman pääoman lisäykset.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Rivi 12: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Tulorahoitus, joka voidaan käyttää tähän investointiin.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Rivi 13: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Pääomalainan lisäys.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Rivi 14: 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Omistajien antamat velkakirjalainat, omaisuuden ja sijoitusten myynnistä saadut rahat, oman työn</a:t>
          </a:r>
          <a:b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              ja materiaalin osuus.</a:t>
          </a:r>
        </a:p>
        <a:p>
          <a:pPr algn="l" rtl="0">
            <a:lnSpc>
              <a:spcPts val="1300"/>
            </a:lnSpc>
            <a:defRPr sz="1000"/>
          </a:pP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r>
            <a:rPr lang="fi-FI" sz="1200" b="1">
              <a:effectLst/>
              <a:latin typeface="+mn-lt"/>
              <a:ea typeface="+mn-ea"/>
              <a:cs typeface="+mn-cs"/>
            </a:rPr>
            <a:t>Huomioi laskennassa investoinnin vaikutukset kustannuksiin tuleville vuosille:</a:t>
          </a:r>
          <a:br>
            <a:rPr lang="fi-FI" sz="1100">
              <a:effectLst/>
              <a:latin typeface="+mn-lt"/>
              <a:ea typeface="+mn-ea"/>
              <a:cs typeface="+mn-cs"/>
            </a:rPr>
          </a:br>
          <a:endParaRPr lang="fi-FI" sz="1000">
            <a:effectLst/>
          </a:endParaRPr>
        </a:p>
        <a:p>
          <a:r>
            <a:rPr lang="fi-FI" sz="105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Kone-/laiteinvestoinnit:</a:t>
          </a:r>
          <a:br>
            <a:rPr lang="fi-FI" sz="105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05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fi-FI" sz="105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raaka-aineet, työvoimakulut, sähkö, vesi, polttoaine, vakuutus, huolto, korjaus, ohjelmat jne...</a:t>
          </a:r>
          <a:endParaRPr lang="fi-FI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br>
            <a:rPr lang="fi-FI" sz="105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05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Kiinteistöinvestoinnit:</a:t>
          </a:r>
          <a:br>
            <a:rPr lang="fi-FI" sz="105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05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fi-FI" sz="105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lämmitys, sähkö, vesi, kiinteistövero, vakuutus, siivous, vartiointi, jäte jne... </a:t>
          </a:r>
          <a:endParaRPr lang="fi-FI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lnSpc>
              <a:spcPts val="1300"/>
            </a:lnSpc>
            <a:defRPr sz="1000"/>
          </a:pPr>
          <a:endParaRPr lang="fi-FI" sz="900" b="1" i="0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lnSpc>
              <a:spcPts val="1300"/>
            </a:lnSpc>
            <a:defRPr sz="1000"/>
          </a:pPr>
          <a:r>
            <a:rPr lang="fi-FI" sz="9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Tämän ohjelaatikon voit pienentää nurkista vetämällä tai siirtää.</a:t>
          </a: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endParaRPr lang="fi-FI" sz="10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b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endParaRPr lang="fi-FI" sz="900" b="1" i="0" strike="noStrike">
            <a:solidFill>
              <a:srgbClr val="004990"/>
            </a:solidFill>
            <a:latin typeface="Arial"/>
            <a:cs typeface="Arial"/>
          </a:endParaRPr>
        </a:p>
      </xdr:txBody>
    </xdr:sp>
    <xdr:clientData fLocksWithSheet="0" fPrintsWithSheet="0"/>
  </xdr:twoCellAnchor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10356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103682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27207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121639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47581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523660</xdr:colOff>
      <xdr:row>21</xdr:row>
      <xdr:rowOff>143275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87550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525646</xdr:colOff>
      <xdr:row>17</xdr:row>
      <xdr:rowOff>30875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544367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694096</xdr:colOff>
      <xdr:row>4</xdr:row>
      <xdr:rowOff>8295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507274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2402341</xdr:colOff>
      <xdr:row>0</xdr:row>
      <xdr:rowOff>178254</xdr:rowOff>
    </xdr:from>
    <xdr:to>
      <xdr:col>12</xdr:col>
      <xdr:colOff>87086</xdr:colOff>
      <xdr:row>3</xdr:row>
      <xdr:rowOff>48987</xdr:rowOff>
    </xdr:to>
    <xdr:sp macro="" textlink="">
      <xdr:nvSpPr>
        <xdr:cNvPr id="6" name="AutoShape 18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3256870" y="178254"/>
          <a:ext cx="5598659" cy="649062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OHJE </a:t>
          </a:r>
          <a:br>
            <a:rPr lang="fi-FI" sz="12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i-FI" sz="11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</a:t>
          </a:r>
          <a:br>
            <a:rPr lang="fi-FI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000" b="0" i="0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Huomaa etumerkki! Sijoita viimeinen välitilin-/tilinpäätös sarakkeeseen G: Toteutunut tilikausi.</a:t>
          </a:r>
          <a:endParaRPr lang="fi-FI" sz="10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 editAs="oneCell">
    <xdr:from>
      <xdr:col>0</xdr:col>
      <xdr:colOff>134430</xdr:colOff>
      <xdr:row>27</xdr:row>
      <xdr:rowOff>27554</xdr:rowOff>
    </xdr:from>
    <xdr:to>
      <xdr:col>0</xdr:col>
      <xdr:colOff>494430</xdr:colOff>
      <xdr:row>29</xdr:row>
      <xdr:rowOff>65092</xdr:rowOff>
    </xdr:to>
    <xdr:pic>
      <xdr:nvPicPr>
        <xdr:cNvPr id="38" name="Kuva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DA4AC5-09EB-4755-9E5E-313C6C5BB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30" y="4860238"/>
          <a:ext cx="360000" cy="355372"/>
        </a:xfrm>
        <a:prstGeom prst="rect">
          <a:avLst/>
        </a:prstGeom>
      </xdr:spPr>
    </xdr:pic>
    <xdr:clientData/>
  </xdr:twoCellAnchor>
  <xdr:twoCellAnchor editAs="oneCell">
    <xdr:from>
      <xdr:col>0</xdr:col>
      <xdr:colOff>138419</xdr:colOff>
      <xdr:row>25</xdr:row>
      <xdr:rowOff>87259</xdr:rowOff>
    </xdr:from>
    <xdr:to>
      <xdr:col>0</xdr:col>
      <xdr:colOff>506583</xdr:colOff>
      <xdr:row>26</xdr:row>
      <xdr:rowOff>140951</xdr:rowOff>
    </xdr:to>
    <xdr:pic>
      <xdr:nvPicPr>
        <xdr:cNvPr id="39" name="Kuva 3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023383-F677-4E10-BDA4-0CD5E6098CD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19" y="4467327"/>
          <a:ext cx="360000" cy="356916"/>
        </a:xfrm>
        <a:prstGeom prst="rect">
          <a:avLst/>
        </a:prstGeom>
      </xdr:spPr>
    </xdr:pic>
    <xdr:clientData/>
  </xdr:twoCellAnchor>
  <xdr:twoCellAnchor editAs="oneCell">
    <xdr:from>
      <xdr:col>0</xdr:col>
      <xdr:colOff>136149</xdr:colOff>
      <xdr:row>22</xdr:row>
      <xdr:rowOff>154897</xdr:rowOff>
    </xdr:from>
    <xdr:to>
      <xdr:col>0</xdr:col>
      <xdr:colOff>496149</xdr:colOff>
      <xdr:row>25</xdr:row>
      <xdr:rowOff>39143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1598AE97-62FD-4696-9F1D-8984F23CDD4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49" y="4062295"/>
          <a:ext cx="360000" cy="356916"/>
        </a:xfrm>
        <a:prstGeom prst="rect">
          <a:avLst/>
        </a:prstGeom>
      </xdr:spPr>
    </xdr:pic>
    <xdr:clientData/>
  </xdr:twoCellAnchor>
  <xdr:twoCellAnchor editAs="oneCell">
    <xdr:from>
      <xdr:col>0</xdr:col>
      <xdr:colOff>137652</xdr:colOff>
      <xdr:row>20</xdr:row>
      <xdr:rowOff>83713</xdr:rowOff>
    </xdr:from>
    <xdr:to>
      <xdr:col>0</xdr:col>
      <xdr:colOff>497652</xdr:colOff>
      <xdr:row>22</xdr:row>
      <xdr:rowOff>121251</xdr:rowOff>
    </xdr:to>
    <xdr:pic>
      <xdr:nvPicPr>
        <xdr:cNvPr id="41" name="Kuva 4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DEAF475-59CA-4357-B7AF-666F0F088B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52" y="3675999"/>
          <a:ext cx="360000" cy="355372"/>
        </a:xfrm>
        <a:prstGeom prst="rect">
          <a:avLst/>
        </a:prstGeom>
      </xdr:spPr>
    </xdr:pic>
    <xdr:clientData/>
  </xdr:twoCellAnchor>
  <xdr:twoCellAnchor editAs="oneCell">
    <xdr:from>
      <xdr:col>0</xdr:col>
      <xdr:colOff>144474</xdr:colOff>
      <xdr:row>17</xdr:row>
      <xdr:rowOff>154488</xdr:rowOff>
    </xdr:from>
    <xdr:to>
      <xdr:col>0</xdr:col>
      <xdr:colOff>507195</xdr:colOff>
      <xdr:row>20</xdr:row>
      <xdr:rowOff>37191</xdr:rowOff>
    </xdr:to>
    <xdr:pic>
      <xdr:nvPicPr>
        <xdr:cNvPr id="42" name="Kuva 4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1741777-29E6-402E-9259-1239412CA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74" y="3274104"/>
          <a:ext cx="360000" cy="355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137744</xdr:colOff>
      <xdr:row>15</xdr:row>
      <xdr:rowOff>69153</xdr:rowOff>
    </xdr:from>
    <xdr:to>
      <xdr:col>0</xdr:col>
      <xdr:colOff>497744</xdr:colOff>
      <xdr:row>17</xdr:row>
      <xdr:rowOff>102791</xdr:rowOff>
    </xdr:to>
    <xdr:pic>
      <xdr:nvPicPr>
        <xdr:cNvPr id="43" name="Kuva 4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DAC6E65-FABE-4627-98B3-378D297D9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44" y="2873657"/>
          <a:ext cx="360000" cy="356914"/>
        </a:xfrm>
        <a:prstGeom prst="rect">
          <a:avLst/>
        </a:prstGeom>
      </xdr:spPr>
    </xdr:pic>
    <xdr:clientData/>
  </xdr:twoCellAnchor>
  <xdr:twoCellAnchor editAs="oneCell">
    <xdr:from>
      <xdr:col>0</xdr:col>
      <xdr:colOff>142185</xdr:colOff>
      <xdr:row>12</xdr:row>
      <xdr:rowOff>138517</xdr:rowOff>
    </xdr:from>
    <xdr:to>
      <xdr:col>0</xdr:col>
      <xdr:colOff>504906</xdr:colOff>
      <xdr:row>15</xdr:row>
      <xdr:rowOff>18864</xdr:rowOff>
    </xdr:to>
    <xdr:pic>
      <xdr:nvPicPr>
        <xdr:cNvPr id="44" name="Kuva 4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3F2462C-70D7-4E65-BB71-C43F83D22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85" y="2470352"/>
          <a:ext cx="360000" cy="358458"/>
        </a:xfrm>
        <a:prstGeom prst="rect">
          <a:avLst/>
        </a:prstGeom>
      </xdr:spPr>
    </xdr:pic>
    <xdr:clientData/>
  </xdr:twoCellAnchor>
  <xdr:twoCellAnchor editAs="oneCell">
    <xdr:from>
      <xdr:col>0</xdr:col>
      <xdr:colOff>140580</xdr:colOff>
      <xdr:row>10</xdr:row>
      <xdr:rowOff>50252</xdr:rowOff>
    </xdr:from>
    <xdr:to>
      <xdr:col>0</xdr:col>
      <xdr:colOff>503301</xdr:colOff>
      <xdr:row>12</xdr:row>
      <xdr:rowOff>97495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510A1423-29AE-495D-902D-2A4F8656C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80" y="2066974"/>
          <a:ext cx="360000" cy="356914"/>
        </a:xfrm>
        <a:prstGeom prst="rect">
          <a:avLst/>
        </a:prstGeom>
      </xdr:spPr>
    </xdr:pic>
    <xdr:clientData/>
  </xdr:twoCellAnchor>
  <xdr:twoCellAnchor editAs="oneCell">
    <xdr:from>
      <xdr:col>0</xdr:col>
      <xdr:colOff>132830</xdr:colOff>
      <xdr:row>7</xdr:row>
      <xdr:rowOff>120965</xdr:rowOff>
    </xdr:from>
    <xdr:to>
      <xdr:col>0</xdr:col>
      <xdr:colOff>497246</xdr:colOff>
      <xdr:row>10</xdr:row>
      <xdr:rowOff>1465</xdr:rowOff>
    </xdr:to>
    <xdr:pic>
      <xdr:nvPicPr>
        <xdr:cNvPr id="46" name="Kuva 4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18D66CE-BEC9-4027-9F4B-5B40D66C2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30" y="1659288"/>
          <a:ext cx="364416" cy="358899"/>
        </a:xfrm>
        <a:prstGeom prst="rect">
          <a:avLst/>
        </a:prstGeom>
      </xdr:spPr>
    </xdr:pic>
    <xdr:clientData/>
  </xdr:twoCellAnchor>
  <xdr:twoCellAnchor editAs="oneCell">
    <xdr:from>
      <xdr:col>0</xdr:col>
      <xdr:colOff>129821</xdr:colOff>
      <xdr:row>29</xdr:row>
      <xdr:rowOff>82826</xdr:rowOff>
    </xdr:from>
    <xdr:to>
      <xdr:col>0</xdr:col>
      <xdr:colOff>507388</xdr:colOff>
      <xdr:row>32</xdr:row>
      <xdr:rowOff>102244</xdr:rowOff>
    </xdr:to>
    <xdr:pic>
      <xdr:nvPicPr>
        <xdr:cNvPr id="47" name="Kuva 46" descr="Tulostin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657EF89-353F-4334-BE7B-D32E30EC5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821" y="4919869"/>
          <a:ext cx="369403" cy="375452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26442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27440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4</xdr:col>
      <xdr:colOff>296633</xdr:colOff>
      <xdr:row>0</xdr:row>
      <xdr:rowOff>53203</xdr:rowOff>
    </xdr:from>
    <xdr:to>
      <xdr:col>10</xdr:col>
      <xdr:colOff>729343</xdr:colOff>
      <xdr:row>8</xdr:row>
      <xdr:rowOff>16329</xdr:rowOff>
    </xdr:to>
    <xdr:sp macro="" textlink="">
      <xdr:nvSpPr>
        <xdr:cNvPr id="22" name="AutoShape 189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Arrowheads="1"/>
        </xdr:cNvSpPr>
      </xdr:nvSpPr>
      <xdr:spPr bwMode="auto">
        <a:xfrm>
          <a:off x="3351437" y="53203"/>
          <a:ext cx="4841424" cy="125580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72000" rIns="3600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1. </a:t>
          </a:r>
          <a:r>
            <a:rPr lang="fi-FI" sz="11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KOKONAISLUKUINA!</a:t>
          </a:r>
          <a:br>
            <a:rPr lang="fi-FI" sz="9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2. </a:t>
          </a:r>
          <a:r>
            <a:rPr lang="fi-FI" sz="1000" b="0" i="0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Täytä ensimmäisellä kerralla (vaihe 3 ) vain toteutuneet tilikaudet. </a:t>
          </a:r>
          <a:br>
            <a:rPr lang="fi-FI" sz="1000" b="0" i="0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i-FI" sz="1000" b="1" i="0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3. Tarkista erityisesti solujen H86, H89 ja H95 prosenttiluvut!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4. Lisää lyhytaikaiset rahalaitoslainat soluihin H78 - K78.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0" i="0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5. Toisella kerralla (vaihe 8) voit muokata tarvittaessa keltaisia soluja.</a:t>
          </a:r>
          <a:endParaRPr lang="fi-FI" sz="900" b="0" i="0" strike="noStrike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73</xdr:row>
      <xdr:rowOff>119743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3901168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186230</xdr:colOff>
      <xdr:row>81</xdr:row>
      <xdr:rowOff>131050</xdr:rowOff>
    </xdr:from>
    <xdr:to>
      <xdr:col>0</xdr:col>
      <xdr:colOff>582230</xdr:colOff>
      <xdr:row>84</xdr:row>
      <xdr:rowOff>39593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30" y="5207875"/>
          <a:ext cx="396000" cy="394318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164224</xdr:colOff>
      <xdr:row>87</xdr:row>
      <xdr:rowOff>82769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64224" y="605494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190500</xdr:colOff>
      <xdr:row>79</xdr:row>
      <xdr:rowOff>9525</xdr:rowOff>
    </xdr:from>
    <xdr:to>
      <xdr:col>0</xdr:col>
      <xdr:colOff>595737</xdr:colOff>
      <xdr:row>81</xdr:row>
      <xdr:rowOff>84667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0"/>
          <a:ext cx="405237" cy="398992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76</xdr:row>
      <xdr:rowOff>76200</xdr:rowOff>
    </xdr:from>
    <xdr:to>
      <xdr:col>0</xdr:col>
      <xdr:colOff>611886</xdr:colOff>
      <xdr:row>78</xdr:row>
      <xdr:rowOff>152191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343400"/>
          <a:ext cx="411861" cy="399841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581524</xdr:colOff>
      <xdr:row>30</xdr:row>
      <xdr:rowOff>68932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214313</xdr:colOff>
      <xdr:row>1</xdr:row>
      <xdr:rowOff>28574</xdr:rowOff>
    </xdr:from>
    <xdr:to>
      <xdr:col>16</xdr:col>
      <xdr:colOff>603303</xdr:colOff>
      <xdr:row>3</xdr:row>
      <xdr:rowOff>76200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6" y="423862"/>
          <a:ext cx="1012242" cy="385763"/>
        </a:xfrm>
        <a:prstGeom prst="rect">
          <a:avLst/>
        </a:prstGeom>
      </xdr:spPr>
    </xdr:pic>
    <xdr:clientData/>
  </xdr:twoCellAnchor>
  <xdr:oneCellAnchor>
    <xdr:from>
      <xdr:col>2</xdr:col>
      <xdr:colOff>426620</xdr:colOff>
      <xdr:row>0</xdr:row>
      <xdr:rowOff>280748</xdr:rowOff>
    </xdr:from>
    <xdr:ext cx="8638814" cy="836930"/>
    <xdr:sp macro="" textlink="">
      <xdr:nvSpPr>
        <xdr:cNvPr id="13" name="AutoShape 189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3067589" y="280748"/>
          <a:ext cx="8638814" cy="836930"/>
        </a:xfrm>
        <a:prstGeom prst="foldedCorner">
          <a:avLst>
            <a:gd name="adj" fmla="val 12500"/>
          </a:avLst>
        </a:prstGeom>
        <a:solidFill>
          <a:srgbClr val="FFC000"/>
        </a:solidFill>
        <a:ln>
          <a:noFill/>
          <a:headEnd/>
          <a:tailEnd/>
        </a:ln>
        <a:effectLst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wrap="square" lIns="72000" tIns="72000" rIns="72000" bIns="0" anchor="ctr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OHJE </a:t>
          </a:r>
          <a:br>
            <a:rPr lang="fi-FI" sz="1000" b="1" i="1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i-FI" sz="105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LUVUT ILMAN SENTTEJÄ KOKONAISLUKUINA! </a:t>
          </a:r>
          <a:r>
            <a:rPr lang="fi-FI" sz="10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VAIN </a:t>
          </a:r>
          <a: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ALKUPERÄISEN SUUNNITELMAN MUKAISET LAINANLYHENNYKSET!</a:t>
          </a:r>
          <a:br>
            <a:rPr lang="fi-FI" sz="10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i-FI" sz="10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Ylimääräiset lainanlyhennykset / lyhennyserien muutokset merkitään  9. T4 RAHOITUSSUUNNITELMA -taulukon kohtaan 19. </a:t>
          </a:r>
          <a:br>
            <a:rPr lang="fi-FI" sz="1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TARKISTA RIVIT 46 ja 47 KORKOPROSENTIT!</a:t>
          </a:r>
          <a:endParaRPr lang="fi-FI" b="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oneCellAnchor>
  <xdr:twoCellAnchor>
    <xdr:from>
      <xdr:col>0</xdr:col>
      <xdr:colOff>191184</xdr:colOff>
      <xdr:row>44</xdr:row>
      <xdr:rowOff>18369</xdr:rowOff>
    </xdr:from>
    <xdr:to>
      <xdr:col>0</xdr:col>
      <xdr:colOff>606342</xdr:colOff>
      <xdr:row>46</xdr:row>
      <xdr:rowOff>111442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91184" y="6723288"/>
          <a:ext cx="415158" cy="392431"/>
        </a:xfrm>
        <a:prstGeom prst="rect">
          <a:avLst/>
        </a:prstGeom>
      </xdr:spPr>
    </xdr:pic>
    <xdr:clientData/>
  </xdr:twoCellAnchor>
  <xdr:twoCellAnchor>
    <xdr:from>
      <xdr:col>0</xdr:col>
      <xdr:colOff>217716</xdr:colOff>
      <xdr:row>41</xdr:row>
      <xdr:rowOff>62202</xdr:rowOff>
    </xdr:from>
    <xdr:to>
      <xdr:col>0</xdr:col>
      <xdr:colOff>577716</xdr:colOff>
      <xdr:row>43</xdr:row>
      <xdr:rowOff>136452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6" y="63384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216100</xdr:colOff>
      <xdr:row>38</xdr:row>
      <xdr:rowOff>81016</xdr:rowOff>
    </xdr:from>
    <xdr:to>
      <xdr:col>0</xdr:col>
      <xdr:colOff>576100</xdr:colOff>
      <xdr:row>41</xdr:row>
      <xdr:rowOff>19195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00" y="593548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216158</xdr:colOff>
      <xdr:row>35</xdr:row>
      <xdr:rowOff>115389</xdr:rowOff>
    </xdr:from>
    <xdr:to>
      <xdr:col>0</xdr:col>
      <xdr:colOff>576158</xdr:colOff>
      <xdr:row>38</xdr:row>
      <xdr:rowOff>47655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58" y="5541237"/>
          <a:ext cx="360000" cy="360891"/>
        </a:xfrm>
        <a:prstGeom prst="rect">
          <a:avLst/>
        </a:prstGeom>
      </xdr:spPr>
    </xdr:pic>
    <xdr:clientData/>
  </xdr:twoCellAnchor>
  <xdr:twoCellAnchor>
    <xdr:from>
      <xdr:col>0</xdr:col>
      <xdr:colOff>213185</xdr:colOff>
      <xdr:row>32</xdr:row>
      <xdr:rowOff>142769</xdr:rowOff>
    </xdr:from>
    <xdr:to>
      <xdr:col>0</xdr:col>
      <xdr:colOff>573185</xdr:colOff>
      <xdr:row>35</xdr:row>
      <xdr:rowOff>74144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85" y="5139992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211412</xdr:colOff>
      <xdr:row>30</xdr:row>
      <xdr:rowOff>20385</xdr:rowOff>
    </xdr:from>
    <xdr:to>
      <xdr:col>0</xdr:col>
      <xdr:colOff>571412</xdr:colOff>
      <xdr:row>32</xdr:row>
      <xdr:rowOff>94635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12" y="4731858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209866</xdr:colOff>
      <xdr:row>27</xdr:row>
      <xdr:rowOff>48044</xdr:rowOff>
    </xdr:from>
    <xdr:to>
      <xdr:col>0</xdr:col>
      <xdr:colOff>569866</xdr:colOff>
      <xdr:row>29</xdr:row>
      <xdr:rowOff>122294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866" y="4330892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212526</xdr:colOff>
      <xdr:row>24</xdr:row>
      <xdr:rowOff>81251</xdr:rowOff>
    </xdr:from>
    <xdr:to>
      <xdr:col>0</xdr:col>
      <xdr:colOff>572526</xdr:colOff>
      <xdr:row>27</xdr:row>
      <xdr:rowOff>12626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26" y="393547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216355</xdr:colOff>
      <xdr:row>21</xdr:row>
      <xdr:rowOff>125477</xdr:rowOff>
    </xdr:from>
    <xdr:to>
      <xdr:col>0</xdr:col>
      <xdr:colOff>576355</xdr:colOff>
      <xdr:row>24</xdr:row>
      <xdr:rowOff>43245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55" y="3537468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218233</xdr:colOff>
      <xdr:row>19</xdr:row>
      <xdr:rowOff>13607</xdr:rowOff>
    </xdr:from>
    <xdr:to>
      <xdr:col>0</xdr:col>
      <xdr:colOff>578233</xdr:colOff>
      <xdr:row>21</xdr:row>
      <xdr:rowOff>87857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33" y="3139848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2598964</xdr:colOff>
      <xdr:row>10</xdr:row>
      <xdr:rowOff>19050</xdr:rowOff>
    </xdr:from>
    <xdr:to>
      <xdr:col>4</xdr:col>
      <xdr:colOff>409574</xdr:colOff>
      <xdr:row>43</xdr:row>
      <xdr:rowOff>129540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650116" y="1924050"/>
          <a:ext cx="1144360" cy="58356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 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62230</xdr:rowOff>
    </xdr:from>
    <xdr:to>
      <xdr:col>5</xdr:col>
      <xdr:colOff>476250</xdr:colOff>
      <xdr:row>127</xdr:row>
      <xdr:rowOff>8890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826770" y="22414230"/>
          <a:ext cx="4323080" cy="27686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371969</xdr:colOff>
      <xdr:row>3</xdr:row>
      <xdr:rowOff>67309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  <xdr:oneCellAnchor>
    <xdr:from>
      <xdr:col>2</xdr:col>
      <xdr:colOff>2493519</xdr:colOff>
      <xdr:row>0</xdr:row>
      <xdr:rowOff>19050</xdr:rowOff>
    </xdr:from>
    <xdr:ext cx="6942858" cy="955177"/>
    <xdr:sp macro="" textlink="">
      <xdr:nvSpPr>
        <xdr:cNvPr id="28" name="AutoShape 189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Arrowheads="1"/>
        </xdr:cNvSpPr>
      </xdr:nvSpPr>
      <xdr:spPr bwMode="auto">
        <a:xfrm>
          <a:off x="3541269" y="19050"/>
          <a:ext cx="6942858" cy="95517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72000" rIns="7200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OHJE </a:t>
          </a: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1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KAIKKI LUVUT + MERKKISINÄ! RAHASUMMAT ILMAN SENTTEJÄ KOKONAISLUKUINA! </a:t>
          </a:r>
          <a:br>
            <a:rPr lang="fi-FI" sz="11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Täytä keltaiset solut. </a:t>
          </a:r>
          <a:r>
            <a:rPr lang="fi-FI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Aloita</a:t>
          </a:r>
          <a:r>
            <a:rPr lang="fi-FI" sz="10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sarakkeesta D toteutuneen tilikauden tiedoilla kohdasta 3. LIIKETOIMINNAN MUUT KULUT. </a:t>
          </a: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Jos Ennuste 1 - tilikauden pituus on muu kuin 12 kk, muuta kulut vastaavasti.</a:t>
          </a:r>
          <a:endParaRPr lang="fi-FI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LocksWithSheet="0" fPrint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3624</xdr:colOff>
      <xdr:row>84</xdr:row>
      <xdr:rowOff>49697</xdr:rowOff>
    </xdr:from>
    <xdr:to>
      <xdr:col>5</xdr:col>
      <xdr:colOff>581822</xdr:colOff>
      <xdr:row>86</xdr:row>
      <xdr:rowOff>5247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836944" y="12996189"/>
          <a:ext cx="4924977" cy="27086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D70=SOLU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50</xdr:row>
      <xdr:rowOff>29357</xdr:rowOff>
    </xdr:from>
    <xdr:to>
      <xdr:col>0</xdr:col>
      <xdr:colOff>536257</xdr:colOff>
      <xdr:row>52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47</xdr:row>
      <xdr:rowOff>99234</xdr:rowOff>
    </xdr:from>
    <xdr:to>
      <xdr:col>0</xdr:col>
      <xdr:colOff>526006</xdr:colOff>
      <xdr:row>50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45</xdr:row>
      <xdr:rowOff>9579</xdr:rowOff>
    </xdr:from>
    <xdr:to>
      <xdr:col>0</xdr:col>
      <xdr:colOff>529349</xdr:colOff>
      <xdr:row>47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42</xdr:row>
      <xdr:rowOff>64947</xdr:rowOff>
    </xdr:from>
    <xdr:to>
      <xdr:col>0</xdr:col>
      <xdr:colOff>524256</xdr:colOff>
      <xdr:row>44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39</xdr:row>
      <xdr:rowOff>123954</xdr:rowOff>
    </xdr:from>
    <xdr:to>
      <xdr:col>0</xdr:col>
      <xdr:colOff>544161</xdr:colOff>
      <xdr:row>42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37</xdr:row>
      <xdr:rowOff>28356</xdr:rowOff>
    </xdr:from>
    <xdr:to>
      <xdr:col>0</xdr:col>
      <xdr:colOff>529010</xdr:colOff>
      <xdr:row>39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34</xdr:row>
      <xdr:rowOff>84151</xdr:rowOff>
    </xdr:from>
    <xdr:to>
      <xdr:col>0</xdr:col>
      <xdr:colOff>529806</xdr:colOff>
      <xdr:row>36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31</xdr:row>
      <xdr:rowOff>136796</xdr:rowOff>
    </xdr:from>
    <xdr:to>
      <xdr:col>0</xdr:col>
      <xdr:colOff>531384</xdr:colOff>
      <xdr:row>34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29</xdr:row>
      <xdr:rowOff>38682</xdr:rowOff>
    </xdr:from>
    <xdr:to>
      <xdr:col>0</xdr:col>
      <xdr:colOff>533880</xdr:colOff>
      <xdr:row>31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26</xdr:row>
      <xdr:rowOff>97971</xdr:rowOff>
    </xdr:from>
    <xdr:to>
      <xdr:col>0</xdr:col>
      <xdr:colOff>536212</xdr:colOff>
      <xdr:row>28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835217</xdr:colOff>
      <xdr:row>3</xdr:row>
      <xdr:rowOff>72888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  <xdr:twoCellAnchor>
    <xdr:from>
      <xdr:col>3</xdr:col>
      <xdr:colOff>638578</xdr:colOff>
      <xdr:row>0</xdr:row>
      <xdr:rowOff>66190</xdr:rowOff>
    </xdr:from>
    <xdr:to>
      <xdr:col>13</xdr:col>
      <xdr:colOff>113501</xdr:colOff>
      <xdr:row>4</xdr:row>
      <xdr:rowOff>157629</xdr:rowOff>
    </xdr:to>
    <xdr:sp macro="" textlink="">
      <xdr:nvSpPr>
        <xdr:cNvPr id="32" name="AutoShape 189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>
          <a:spLocks noChangeArrowheads="1"/>
        </xdr:cNvSpPr>
      </xdr:nvSpPr>
      <xdr:spPr bwMode="auto">
        <a:xfrm>
          <a:off x="3947835" y="66190"/>
          <a:ext cx="7138466" cy="831668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0" anchor="t" anchorCtr="0" upright="1"/>
        <a:lstStyle/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0" i="0" strike="noStrike">
              <a:solidFill>
                <a:srgbClr val="000000"/>
              </a:solidFill>
              <a:latin typeface="Arial"/>
              <a:cs typeface="Arial"/>
            </a:rPr>
            <a:t>Laske toteutuneen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 tilikauden avulla tuotteen yksikköhinta, ellei ole tiedossa. Toteutuneen tilikauden tiedot muissa taulukoissa eivät muutu! Valitse alv-% tuotekohtaisesti! Huomioi tilikauden pituus!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Täytetään keltaiset solut.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</a:b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Arial"/>
            </a:rPr>
            <a:t>AINEKÄYTTÖ/HANKINNAT MERKITÄÄN +MERKKISINÄ!</a:t>
          </a:r>
          <a:endParaRPr lang="fi-FI" sz="1200" b="1" i="0" strike="noStrike">
            <a:solidFill>
              <a:schemeClr val="tx1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715645</xdr:colOff>
      <xdr:row>4</xdr:row>
      <xdr:rowOff>108901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732154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11</xdr:col>
      <xdr:colOff>94658</xdr:colOff>
      <xdr:row>62</xdr:row>
      <xdr:rowOff>74779</xdr:rowOff>
    </xdr:from>
    <xdr:to>
      <xdr:col>21</xdr:col>
      <xdr:colOff>21477</xdr:colOff>
      <xdr:row>88</xdr:row>
      <xdr:rowOff>66261</xdr:rowOff>
    </xdr:to>
    <xdr:sp macro="" textlink="">
      <xdr:nvSpPr>
        <xdr:cNvPr id="3" name="AutoShape 189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8287341" y="9900319"/>
          <a:ext cx="7565751" cy="1397159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72000" rIns="72000" bIns="0" anchor="t" upright="1"/>
        <a:lstStyle/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TARKISTUS </a:t>
          </a:r>
          <a:b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Tarkista: T4 Rahoitussuunnitelman</a:t>
          </a:r>
          <a:r>
            <a:rPr lang="fi-FI" sz="10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"Kumalatiivinen kassa" täsmää T3 TASEen "Rahat ja pankkisaamiset" kanssa. </a:t>
          </a:r>
          <a:br>
            <a:rPr lang="fi-FI" sz="800" b="0" i="0" strike="noStrike">
              <a:solidFill>
                <a:srgbClr val="000000"/>
              </a:solidFill>
              <a:latin typeface="Arial"/>
              <a:cs typeface="Arial"/>
            </a:rPr>
          </a:br>
          <a:br>
            <a:rPr lang="fi-FI" sz="10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r>
            <a:rPr lang="fi-FI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KEINOJA KASSAVAROJEN LISÄÄMISEEN</a:t>
          </a:r>
          <a:br>
            <a:rPr lang="fi-FI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05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Kassavaroja voidaan lisätä kohdassa KÄYTTÖPÄÄOMA pienentämällä vaihto-omaisuuden määrää (varasto), nopeuttamalla myyntisaamisten kiertonopeutta, pidentämällä ostovelkojen kiertonopeutta.  </a:t>
          </a:r>
          <a:br>
            <a:rPr lang="fi-FI" sz="105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endParaRPr lang="fi-FI" sz="900" b="1" i="0" strike="noStrike">
            <a:solidFill>
              <a:srgbClr val="FF0000"/>
            </a:solidFill>
            <a:latin typeface="Arial"/>
            <a:cs typeface="Arial"/>
          </a:endParaRPr>
        </a:p>
      </xdr:txBody>
    </xdr:sp>
    <xdr:clientData fLocksWithSheet="0" fPrintsWithSheet="0"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127271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P8" sqref="P8"/>
    </sheetView>
  </sheetViews>
  <sheetFormatPr defaultRowHeight="12.75" x14ac:dyDescent="0.2"/>
  <cols>
    <col min="1" max="1" width="3.7109375" customWidth="1"/>
    <col min="2" max="2" width="9.140625" style="42" customWidth="1"/>
    <col min="3" max="3" width="2.5703125" style="42" customWidth="1"/>
    <col min="4" max="4" width="36.5703125" customWidth="1"/>
    <col min="5" max="5" width="2.85546875" customWidth="1"/>
    <col min="6" max="6" width="41.85546875" customWidth="1"/>
    <col min="7" max="7" width="4.42578125" customWidth="1"/>
    <col min="8" max="9" width="7.42578125" customWidth="1"/>
    <col min="12" max="12" width="10" customWidth="1"/>
  </cols>
  <sheetData>
    <row r="1" spans="2:17" ht="12.75" customHeight="1" x14ac:dyDescent="0.2">
      <c r="I1" s="88"/>
    </row>
    <row r="2" spans="2:17" ht="12.75" customHeight="1" x14ac:dyDescent="0.2">
      <c r="H2" s="1658"/>
      <c r="I2" s="1658"/>
    </row>
    <row r="3" spans="2:17" ht="15" x14ac:dyDescent="0.2">
      <c r="D3" s="1667" t="s">
        <v>449</v>
      </c>
      <c r="E3" s="1668"/>
      <c r="F3" s="1668"/>
      <c r="H3" s="1658"/>
      <c r="I3" s="1658"/>
    </row>
    <row r="4" spans="2:17" x14ac:dyDescent="0.2">
      <c r="B4" s="44"/>
      <c r="C4" s="44"/>
      <c r="D4" s="1"/>
    </row>
    <row r="5" spans="2:17" ht="33" customHeight="1" x14ac:dyDescent="0.2">
      <c r="F5" s="554"/>
      <c r="H5" s="1029"/>
      <c r="I5" s="1669" t="s">
        <v>720</v>
      </c>
      <c r="J5" s="1669"/>
      <c r="K5" s="1669"/>
      <c r="L5" s="1669"/>
    </row>
    <row r="6" spans="2:17" ht="10.15" customHeight="1" x14ac:dyDescent="0.2">
      <c r="H6" s="1261"/>
      <c r="I6" s="475"/>
      <c r="J6" s="1261"/>
      <c r="K6" s="1261"/>
      <c r="L6" s="1261"/>
    </row>
    <row r="7" spans="2:17" ht="33" customHeight="1" x14ac:dyDescent="0.2">
      <c r="B7" s="44" t="s">
        <v>0</v>
      </c>
      <c r="F7" s="554"/>
      <c r="H7" s="1662" t="s">
        <v>753</v>
      </c>
      <c r="I7" s="1662"/>
      <c r="J7" s="1662"/>
      <c r="K7" s="1662"/>
      <c r="L7" s="1662"/>
    </row>
    <row r="8" spans="2:17" ht="10.15" customHeight="1" x14ac:dyDescent="0.2"/>
    <row r="9" spans="2:17" ht="33" customHeight="1" x14ac:dyDescent="0.2">
      <c r="F9" s="554"/>
      <c r="N9" s="258"/>
    </row>
    <row r="10" spans="2:17" ht="10.15" customHeight="1" x14ac:dyDescent="0.2"/>
    <row r="11" spans="2:17" ht="33" customHeight="1" x14ac:dyDescent="0.2">
      <c r="F11" s="554"/>
      <c r="I11" s="1655"/>
      <c r="J11" s="1656"/>
      <c r="L11" s="258"/>
    </row>
    <row r="12" spans="2:17" ht="10.15" customHeight="1" x14ac:dyDescent="0.2"/>
    <row r="13" spans="2:17" ht="33" customHeight="1" x14ac:dyDescent="0.2">
      <c r="F13" s="554"/>
    </row>
    <row r="14" spans="2:17" ht="10.15" customHeight="1" x14ac:dyDescent="0.2">
      <c r="I14" s="1664"/>
      <c r="J14" s="1664"/>
      <c r="K14" s="1664"/>
      <c r="L14" s="1664"/>
      <c r="Q14" t="s">
        <v>0</v>
      </c>
    </row>
    <row r="15" spans="2:17" ht="33" customHeight="1" x14ac:dyDescent="0.2">
      <c r="F15" s="554"/>
      <c r="I15" s="1664"/>
      <c r="J15" s="1664"/>
      <c r="K15" s="1664"/>
      <c r="L15" s="1664"/>
      <c r="N15" s="1" t="s">
        <v>0</v>
      </c>
    </row>
    <row r="16" spans="2:17" ht="10.15" customHeight="1" x14ac:dyDescent="0.2">
      <c r="H16" s="1"/>
      <c r="I16" s="1664"/>
      <c r="J16" s="1664"/>
      <c r="K16" s="1664"/>
      <c r="L16" s="1664"/>
    </row>
    <row r="17" spans="2:13" ht="33" customHeight="1" x14ac:dyDescent="0.2">
      <c r="F17" s="554"/>
      <c r="I17" s="1664"/>
      <c r="J17" s="1664"/>
      <c r="K17" s="1664"/>
      <c r="L17" s="1664"/>
      <c r="M17" s="258"/>
    </row>
    <row r="18" spans="2:13" ht="10.15" customHeight="1" x14ac:dyDescent="0.2">
      <c r="F18" s="472"/>
      <c r="I18" s="1664"/>
      <c r="J18" s="1664"/>
      <c r="K18" s="1664"/>
      <c r="L18" s="1664"/>
      <c r="M18" s="258"/>
    </row>
    <row r="19" spans="2:13" ht="33" customHeight="1" x14ac:dyDescent="0.2">
      <c r="F19" s="554"/>
      <c r="I19" s="1664"/>
      <c r="J19" s="1664"/>
      <c r="K19" s="1664"/>
      <c r="L19" s="1664"/>
    </row>
    <row r="20" spans="2:13" ht="10.15" customHeight="1" x14ac:dyDescent="0.2"/>
    <row r="21" spans="2:13" ht="33" customHeight="1" x14ac:dyDescent="0.2">
      <c r="F21" s="554"/>
      <c r="I21" s="1657"/>
      <c r="J21" s="1657"/>
    </row>
    <row r="22" spans="2:13" ht="10.15" customHeight="1" x14ac:dyDescent="0.2"/>
    <row r="23" spans="2:13" ht="18" customHeight="1" x14ac:dyDescent="0.2">
      <c r="F23" s="554"/>
      <c r="H23" s="526"/>
      <c r="I23" s="197"/>
      <c r="J23" s="1661"/>
      <c r="K23" s="1661"/>
    </row>
    <row r="24" spans="2:13" ht="12" customHeight="1" x14ac:dyDescent="0.2">
      <c r="B24" s="44"/>
      <c r="C24" s="44"/>
      <c r="G24" s="1666" t="s">
        <v>529</v>
      </c>
      <c r="H24" s="1666"/>
      <c r="I24" s="1666"/>
      <c r="J24" s="1666"/>
      <c r="K24" s="1666"/>
      <c r="L24" s="1666"/>
    </row>
    <row r="25" spans="2:13" ht="12" customHeight="1" x14ac:dyDescent="0.2">
      <c r="F25" s="554"/>
      <c r="H25" s="526"/>
      <c r="I25" s="1665">
        <v>44911</v>
      </c>
      <c r="J25" s="1666"/>
      <c r="K25" s="1666"/>
      <c r="L25" s="1666"/>
    </row>
    <row r="26" spans="2:13" ht="12" customHeight="1" x14ac:dyDescent="0.2">
      <c r="D26" s="79"/>
      <c r="E26" s="54"/>
      <c r="F26" s="90"/>
      <c r="G26" s="54"/>
      <c r="H26" s="54"/>
      <c r="I26" s="54" t="s">
        <v>719</v>
      </c>
      <c r="J26" s="1663"/>
      <c r="K26" s="1663"/>
      <c r="L26" s="1663"/>
    </row>
    <row r="27" spans="2:13" x14ac:dyDescent="0.2">
      <c r="D27" s="79"/>
      <c r="F27" s="1659"/>
    </row>
    <row r="28" spans="2:13" x14ac:dyDescent="0.2">
      <c r="F28" s="1659"/>
    </row>
    <row r="29" spans="2:13" x14ac:dyDescent="0.2">
      <c r="D29" s="1658"/>
      <c r="E29" s="1660"/>
    </row>
    <row r="40" spans="4:6" x14ac:dyDescent="0.2">
      <c r="D40" s="18"/>
      <c r="F40" s="18"/>
    </row>
    <row r="51" spans="4:4" x14ac:dyDescent="0.2">
      <c r="D51" s="18"/>
    </row>
    <row r="61" spans="4:4" x14ac:dyDescent="0.2">
      <c r="D61" s="520"/>
    </row>
  </sheetData>
  <sheetProtection algorithmName="SHA-512" hashValue="wd6OSfV1n4rFbGRFM7HTogzeXfi0GUV107cJfOqGHtMhNXvPc4F8ywBimfybk33LWLczEQguV78RGUhjSdYTgA==" saltValue="eSctRvtNrJEDvAgfW6gWbA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3"/>
  <sheetViews>
    <sheetView showGridLines="0" showZeros="0" defaultGridColor="0" colorId="55" zoomScaleNormal="100" workbookViewId="0">
      <selection activeCell="C10" sqref="C10:F10"/>
    </sheetView>
  </sheetViews>
  <sheetFormatPr defaultRowHeight="12.75" x14ac:dyDescent="0.2"/>
  <cols>
    <col min="2" max="2" width="3.85546875" customWidth="1"/>
    <col min="3" max="3" width="4.42578125" customWidth="1"/>
    <col min="4" max="4" width="28.28515625" customWidth="1"/>
    <col min="5" max="5" width="9.7109375" customWidth="1"/>
    <col min="6" max="6" width="5.42578125" style="42" customWidth="1"/>
    <col min="7" max="19" width="9.85546875" customWidth="1"/>
    <col min="20" max="20" width="10.7109375" customWidth="1"/>
    <col min="21" max="22" width="10.28515625" style="254" customWidth="1"/>
    <col min="23" max="23" width="3.7109375" hidden="1" customWidth="1"/>
    <col min="24" max="24" width="5.42578125" hidden="1" customWidth="1"/>
    <col min="25" max="25" width="6" hidden="1" customWidth="1"/>
    <col min="26" max="26" width="8.7109375" hidden="1" customWidth="1"/>
    <col min="27" max="27" width="7" hidden="1" customWidth="1"/>
    <col min="28" max="28" width="8.7109375" hidden="1" customWidth="1"/>
    <col min="29" max="29" width="5.42578125" hidden="1" customWidth="1"/>
    <col min="30" max="31" width="8.7109375" hidden="1" customWidth="1"/>
    <col min="32" max="33" width="8.85546875" hidden="1" customWidth="1"/>
    <col min="34" max="34" width="6.5703125" hidden="1" customWidth="1"/>
    <col min="35" max="35" width="8.85546875" hidden="1" customWidth="1"/>
    <col min="36" max="36" width="6" hidden="1" customWidth="1"/>
    <col min="37" max="40" width="8.85546875" hidden="1" customWidth="1"/>
    <col min="41" max="41" width="7.5703125" hidden="1" customWidth="1"/>
    <col min="42" max="42" width="8.85546875" hidden="1" customWidth="1"/>
    <col min="43" max="43" width="6.7109375" hidden="1" customWidth="1"/>
    <col min="44" max="44" width="7.7109375" hidden="1" customWidth="1"/>
    <col min="45" max="49" width="8.85546875" hidden="1" customWidth="1"/>
  </cols>
  <sheetData>
    <row r="1" spans="1:25" ht="129" customHeight="1" x14ac:dyDescent="0.2"/>
    <row r="4" spans="1:25" x14ac:dyDescent="0.2">
      <c r="I4" s="1675"/>
      <c r="J4" s="1675"/>
    </row>
    <row r="5" spans="1:25" ht="15.75" customHeight="1" x14ac:dyDescent="0.3">
      <c r="B5" s="94" t="s">
        <v>180</v>
      </c>
      <c r="C5" s="103"/>
      <c r="D5" s="104"/>
      <c r="E5" s="1947" t="s">
        <v>332</v>
      </c>
      <c r="F5" s="1947"/>
      <c r="G5" s="1947"/>
      <c r="H5" s="1633">
        <v>1</v>
      </c>
      <c r="I5" s="412"/>
      <c r="J5" s="1959"/>
      <c r="K5" s="1959"/>
      <c r="L5" s="831"/>
      <c r="M5" s="831"/>
      <c r="O5" s="1960" t="s">
        <v>632</v>
      </c>
      <c r="P5" s="1960"/>
      <c r="Q5" s="1960"/>
      <c r="R5" s="103"/>
      <c r="S5" s="103"/>
    </row>
    <row r="6" spans="1:25" ht="10.5" customHeight="1" x14ac:dyDescent="0.3">
      <c r="B6" s="168" t="s">
        <v>703</v>
      </c>
      <c r="C6" s="103"/>
      <c r="D6" s="104"/>
      <c r="E6" s="104"/>
      <c r="F6" s="133"/>
      <c r="G6" s="133"/>
      <c r="H6" s="166"/>
      <c r="I6" s="105"/>
      <c r="J6" s="832" t="s">
        <v>530</v>
      </c>
      <c r="K6" s="833"/>
      <c r="L6" s="833"/>
      <c r="M6" s="833"/>
      <c r="O6" s="167"/>
      <c r="P6" s="167"/>
      <c r="Q6" s="167"/>
      <c r="R6" s="103"/>
      <c r="S6" s="103"/>
    </row>
    <row r="7" spans="1:25" ht="14.25" x14ac:dyDescent="0.2">
      <c r="B7" s="1893" t="str">
        <f>'1. T1 INVESTOINTISUUN.'!B7:D7</f>
        <v xml:space="preserve"> </v>
      </c>
      <c r="C7" s="1893"/>
      <c r="D7" s="1893"/>
      <c r="E7" s="1893"/>
      <c r="G7" s="106"/>
      <c r="H7" s="106"/>
      <c r="I7" s="106"/>
      <c r="J7" s="1953">
        <f>'1. T1 INVESTOINTISUUN.'!B9</f>
        <v>0</v>
      </c>
      <c r="K7" s="1953"/>
      <c r="L7" s="1953"/>
      <c r="M7" s="1953"/>
      <c r="O7" s="1961" t="s">
        <v>169</v>
      </c>
      <c r="P7" s="1961"/>
      <c r="Q7" s="1961"/>
      <c r="R7" s="106"/>
      <c r="S7" s="107"/>
      <c r="U7" s="1658"/>
      <c r="V7" s="1658"/>
      <c r="W7" s="1962"/>
      <c r="X7" s="1962"/>
    </row>
    <row r="8" spans="1:25" ht="10.15" customHeight="1" x14ac:dyDescent="0.2">
      <c r="B8" s="106"/>
      <c r="C8" s="106"/>
      <c r="G8" s="106"/>
      <c r="H8" s="106"/>
      <c r="I8" s="106"/>
      <c r="J8" s="106"/>
      <c r="K8" s="106"/>
      <c r="L8" s="106"/>
      <c r="M8" s="106"/>
      <c r="N8" s="1347"/>
      <c r="O8" s="1347"/>
      <c r="P8" s="1347"/>
      <c r="Q8" s="106"/>
      <c r="R8" s="106"/>
      <c r="S8" s="107"/>
    </row>
    <row r="9" spans="1:25" ht="14.1" customHeight="1" x14ac:dyDescent="0.2">
      <c r="B9" s="1979" t="s">
        <v>690</v>
      </c>
      <c r="C9" s="1980"/>
      <c r="D9" s="1980"/>
      <c r="E9" s="1981"/>
      <c r="F9" s="1344" t="s">
        <v>168</v>
      </c>
      <c r="G9" s="1360">
        <v>45292</v>
      </c>
      <c r="H9" s="1345">
        <f>G9+31</f>
        <v>45323</v>
      </c>
      <c r="I9" s="1345">
        <f t="shared" ref="I9:R9" si="0">H9+31</f>
        <v>45354</v>
      </c>
      <c r="J9" s="1345">
        <f t="shared" si="0"/>
        <v>45385</v>
      </c>
      <c r="K9" s="1345">
        <f t="shared" si="0"/>
        <v>45416</v>
      </c>
      <c r="L9" s="1345">
        <f t="shared" si="0"/>
        <v>45447</v>
      </c>
      <c r="M9" s="1345">
        <f t="shared" si="0"/>
        <v>45478</v>
      </c>
      <c r="N9" s="1345">
        <f t="shared" si="0"/>
        <v>45509</v>
      </c>
      <c r="O9" s="1345">
        <f t="shared" si="0"/>
        <v>45540</v>
      </c>
      <c r="P9" s="1345">
        <f t="shared" si="0"/>
        <v>45571</v>
      </c>
      <c r="Q9" s="1345">
        <f t="shared" si="0"/>
        <v>45602</v>
      </c>
      <c r="R9" s="1345">
        <f t="shared" si="0"/>
        <v>45633</v>
      </c>
      <c r="S9" s="1350" t="s">
        <v>148</v>
      </c>
    </row>
    <row r="10" spans="1:25" ht="12.6" customHeight="1" x14ac:dyDescent="0.2">
      <c r="B10" s="1954">
        <v>1</v>
      </c>
      <c r="C10" s="1948" t="s">
        <v>749</v>
      </c>
      <c r="D10" s="1949"/>
      <c r="E10" s="1949"/>
      <c r="F10" s="1950"/>
      <c r="G10" s="1348">
        <f>IF(H5=1,'3. T3 TASE '!G49,'3. T3 TASE '!H49)</f>
        <v>0</v>
      </c>
      <c r="H10" s="1349">
        <f>G55</f>
        <v>0</v>
      </c>
      <c r="I10" s="1349">
        <f t="shared" ref="I10:R10" si="1">H55</f>
        <v>0</v>
      </c>
      <c r="J10" s="1349">
        <f t="shared" si="1"/>
        <v>0</v>
      </c>
      <c r="K10" s="1349">
        <f t="shared" si="1"/>
        <v>0</v>
      </c>
      <c r="L10" s="1349">
        <f t="shared" si="1"/>
        <v>0</v>
      </c>
      <c r="M10" s="1349">
        <f t="shared" si="1"/>
        <v>0</v>
      </c>
      <c r="N10" s="1349">
        <f t="shared" si="1"/>
        <v>0</v>
      </c>
      <c r="O10" s="1349">
        <f t="shared" si="1"/>
        <v>0</v>
      </c>
      <c r="P10" s="1349">
        <f t="shared" si="1"/>
        <v>0</v>
      </c>
      <c r="Q10" s="1349">
        <f t="shared" si="1"/>
        <v>0</v>
      </c>
      <c r="R10" s="1349">
        <f t="shared" si="1"/>
        <v>0</v>
      </c>
      <c r="S10" s="1349"/>
    </row>
    <row r="11" spans="1:25" ht="12.6" customHeight="1" x14ac:dyDescent="0.2">
      <c r="B11" s="1955"/>
      <c r="C11" s="1956" t="s">
        <v>750</v>
      </c>
      <c r="D11" s="1957"/>
      <c r="E11" s="1957"/>
      <c r="F11" s="1958"/>
      <c r="G11" s="1137">
        <f>'AT T5 Kassa'!C18</f>
        <v>0</v>
      </c>
      <c r="H11" s="1137">
        <f>'AT T5 Kassa'!D18</f>
        <v>0</v>
      </c>
      <c r="I11" s="1137">
        <f>'AT T5 Kassa'!E18</f>
        <v>0</v>
      </c>
      <c r="J11" s="1137">
        <f>'AT T5 Kassa'!F18</f>
        <v>0</v>
      </c>
      <c r="K11" s="1137">
        <f>'AT T5 Kassa'!G18</f>
        <v>0</v>
      </c>
      <c r="L11" s="1137">
        <f>'AT T5 Kassa'!H18</f>
        <v>0</v>
      </c>
      <c r="M11" s="711"/>
      <c r="N11" s="711"/>
      <c r="O11" s="711"/>
      <c r="P11" s="711"/>
      <c r="Q11" s="711"/>
      <c r="R11" s="711"/>
      <c r="S11" s="712">
        <f>SUM(G11:R11)</f>
        <v>0</v>
      </c>
      <c r="U11" s="807"/>
      <c r="V11" s="807"/>
      <c r="W11" s="146"/>
      <c r="X11" s="146"/>
      <c r="Y11" s="146"/>
    </row>
    <row r="12" spans="1:25" ht="12.6" customHeight="1" x14ac:dyDescent="0.2">
      <c r="A12" s="55"/>
      <c r="B12" s="834">
        <v>2</v>
      </c>
      <c r="C12" s="1951" t="s">
        <v>149</v>
      </c>
      <c r="D12" s="1952"/>
      <c r="E12" s="393">
        <v>0.5</v>
      </c>
      <c r="F12" s="394">
        <v>24</v>
      </c>
      <c r="G12" s="713">
        <f t="shared" ref="G12:R12" si="2">G13*$S12</f>
        <v>0</v>
      </c>
      <c r="H12" s="713">
        <f t="shared" si="2"/>
        <v>0</v>
      </c>
      <c r="I12" s="713">
        <f t="shared" si="2"/>
        <v>0</v>
      </c>
      <c r="J12" s="713">
        <f t="shared" si="2"/>
        <v>0</v>
      </c>
      <c r="K12" s="713">
        <f t="shared" si="2"/>
        <v>0</v>
      </c>
      <c r="L12" s="713">
        <f t="shared" si="2"/>
        <v>0</v>
      </c>
      <c r="M12" s="713">
        <f>M13*$S12</f>
        <v>0</v>
      </c>
      <c r="N12" s="713">
        <f t="shared" si="2"/>
        <v>0</v>
      </c>
      <c r="O12" s="713">
        <f t="shared" si="2"/>
        <v>0</v>
      </c>
      <c r="P12" s="713">
        <f t="shared" si="2"/>
        <v>0</v>
      </c>
      <c r="Q12" s="713">
        <f t="shared" si="2"/>
        <v>0</v>
      </c>
      <c r="R12" s="713">
        <f t="shared" si="2"/>
        <v>0</v>
      </c>
      <c r="S12" s="714">
        <f>IF(H5=2,E12*('6. E2 LIIKEVAIHTO '!$F$79+'6. E2 LIIKEVAIHTO '!$F$82),E12*('6. E2 LIIKEVAIHTO '!$E$79+'6. E2 LIIKEVAIHTO '!$E$82))</f>
        <v>0</v>
      </c>
      <c r="U12" s="148"/>
      <c r="V12" s="148"/>
      <c r="W12" s="146"/>
      <c r="X12" s="146"/>
      <c r="Y12" s="146"/>
    </row>
    <row r="13" spans="1:25" ht="12.6" customHeight="1" x14ac:dyDescent="0.2">
      <c r="B13" s="835"/>
      <c r="C13" s="395"/>
      <c r="D13" s="1971" t="s">
        <v>150</v>
      </c>
      <c r="E13" s="1971"/>
      <c r="F13" s="1972"/>
      <c r="G13" s="715">
        <v>8.3000000000000004E-2</v>
      </c>
      <c r="H13" s="715">
        <f>G13</f>
        <v>8.3000000000000004E-2</v>
      </c>
      <c r="I13" s="715">
        <f t="shared" ref="I13:Q13" si="3">H13</f>
        <v>8.3000000000000004E-2</v>
      </c>
      <c r="J13" s="715">
        <f t="shared" si="3"/>
        <v>8.3000000000000004E-2</v>
      </c>
      <c r="K13" s="715">
        <f t="shared" si="3"/>
        <v>8.3000000000000004E-2</v>
      </c>
      <c r="L13" s="715">
        <f t="shared" si="3"/>
        <v>8.3000000000000004E-2</v>
      </c>
      <c r="M13" s="715">
        <f t="shared" si="3"/>
        <v>8.3000000000000004E-2</v>
      </c>
      <c r="N13" s="715">
        <f t="shared" si="3"/>
        <v>8.3000000000000004E-2</v>
      </c>
      <c r="O13" s="715">
        <f t="shared" si="3"/>
        <v>8.3000000000000004E-2</v>
      </c>
      <c r="P13" s="715">
        <f t="shared" si="3"/>
        <v>8.3000000000000004E-2</v>
      </c>
      <c r="Q13" s="715">
        <f t="shared" si="3"/>
        <v>8.3000000000000004E-2</v>
      </c>
      <c r="R13" s="715">
        <v>8.6999999999999994E-2</v>
      </c>
      <c r="S13" s="716">
        <f>SUM(G13:R13)</f>
        <v>0.99999999999999989</v>
      </c>
      <c r="T13" s="228" t="str">
        <f>IF(E12=0," ",IF(S13=100%," ","VIRHE!"))</f>
        <v xml:space="preserve"> </v>
      </c>
    </row>
    <row r="14" spans="1:25" ht="12.6" customHeight="1" x14ac:dyDescent="0.2">
      <c r="A14" s="55"/>
      <c r="B14" s="835">
        <v>3</v>
      </c>
      <c r="C14" s="1951" t="s">
        <v>151</v>
      </c>
      <c r="D14" s="1971"/>
      <c r="E14" s="1972"/>
      <c r="F14" s="396">
        <v>24</v>
      </c>
      <c r="G14" s="713">
        <f>G15*$S14</f>
        <v>0</v>
      </c>
      <c r="H14" s="713">
        <f>H15*$S14</f>
        <v>0</v>
      </c>
      <c r="I14" s="713">
        <f t="shared" ref="I14:R14" si="4">I15*$S14</f>
        <v>0</v>
      </c>
      <c r="J14" s="713">
        <f t="shared" si="4"/>
        <v>0</v>
      </c>
      <c r="K14" s="713">
        <f t="shared" si="4"/>
        <v>0</v>
      </c>
      <c r="L14" s="713">
        <f t="shared" si="4"/>
        <v>0</v>
      </c>
      <c r="M14" s="713">
        <f t="shared" si="4"/>
        <v>0</v>
      </c>
      <c r="N14" s="713">
        <f t="shared" si="4"/>
        <v>0</v>
      </c>
      <c r="O14" s="713">
        <f t="shared" si="4"/>
        <v>0</v>
      </c>
      <c r="P14" s="713">
        <f t="shared" si="4"/>
        <v>0</v>
      </c>
      <c r="Q14" s="713">
        <f t="shared" si="4"/>
        <v>0</v>
      </c>
      <c r="R14" s="713">
        <f t="shared" si="4"/>
        <v>0</v>
      </c>
      <c r="S14" s="713">
        <f>IF(H5=2,('6. E2 LIIKEVAIHTO '!F79+'6. E2 LIIKEVAIHTO '!F82)-S12,'6. E2 LIIKEVAIHTO '!E79+'6. E2 LIIKEVAIHTO '!E82-S12)</f>
        <v>0</v>
      </c>
      <c r="U14" s="265"/>
      <c r="V14" s="265"/>
    </row>
    <row r="15" spans="1:25" ht="12.6" customHeight="1" x14ac:dyDescent="0.2">
      <c r="A15" s="2"/>
      <c r="B15" s="835"/>
      <c r="C15" s="395"/>
      <c r="D15" s="1971" t="s">
        <v>152</v>
      </c>
      <c r="E15" s="1971"/>
      <c r="F15" s="1972"/>
      <c r="G15" s="717">
        <v>8.3000000000000004E-2</v>
      </c>
      <c r="H15" s="715">
        <f>G15</f>
        <v>8.3000000000000004E-2</v>
      </c>
      <c r="I15" s="715">
        <f t="shared" ref="I15:Q15" si="5">H15</f>
        <v>8.3000000000000004E-2</v>
      </c>
      <c r="J15" s="715">
        <f t="shared" si="5"/>
        <v>8.3000000000000004E-2</v>
      </c>
      <c r="K15" s="715">
        <f t="shared" si="5"/>
        <v>8.3000000000000004E-2</v>
      </c>
      <c r="L15" s="715">
        <f t="shared" si="5"/>
        <v>8.3000000000000004E-2</v>
      </c>
      <c r="M15" s="715">
        <f t="shared" si="5"/>
        <v>8.3000000000000004E-2</v>
      </c>
      <c r="N15" s="715">
        <f t="shared" si="5"/>
        <v>8.3000000000000004E-2</v>
      </c>
      <c r="O15" s="715">
        <f t="shared" si="5"/>
        <v>8.3000000000000004E-2</v>
      </c>
      <c r="P15" s="715">
        <f t="shared" si="5"/>
        <v>8.3000000000000004E-2</v>
      </c>
      <c r="Q15" s="715">
        <f t="shared" si="5"/>
        <v>8.3000000000000004E-2</v>
      </c>
      <c r="R15" s="715">
        <v>8.6999999999999994E-2</v>
      </c>
      <c r="S15" s="716">
        <f>SUM(G15:R15)</f>
        <v>0.99999999999999989</v>
      </c>
      <c r="T15" s="228" t="str">
        <f>IF(E12=100%," ",IF(S15=100%," ","VIRHE!"))</f>
        <v xml:space="preserve"> </v>
      </c>
    </row>
    <row r="16" spans="1:25" ht="12.6" customHeight="1" thickBot="1" x14ac:dyDescent="0.25">
      <c r="A16" s="55"/>
      <c r="B16" s="835"/>
      <c r="C16" s="395"/>
      <c r="D16" s="397" t="s">
        <v>153</v>
      </c>
      <c r="E16" s="398">
        <v>14</v>
      </c>
      <c r="F16" s="399" t="s">
        <v>154</v>
      </c>
      <c r="G16" s="713">
        <f>'AT T5 Kassa'!C42</f>
        <v>0</v>
      </c>
      <c r="H16" s="713">
        <f>'AT T5 Kassa'!D42</f>
        <v>0</v>
      </c>
      <c r="I16" s="713">
        <f>'AT T5 Kassa'!E42</f>
        <v>0</v>
      </c>
      <c r="J16" s="713">
        <f>'AT T5 Kassa'!F42</f>
        <v>0</v>
      </c>
      <c r="K16" s="713">
        <f>'AT T5 Kassa'!G42</f>
        <v>0</v>
      </c>
      <c r="L16" s="713">
        <f>'AT T5 Kassa'!H42</f>
        <v>0</v>
      </c>
      <c r="M16" s="713">
        <f>'AT T5 Kassa'!I42</f>
        <v>0</v>
      </c>
      <c r="N16" s="713">
        <f>'AT T5 Kassa'!J42</f>
        <v>0</v>
      </c>
      <c r="O16" s="713">
        <f>'AT T5 Kassa'!K42</f>
        <v>0</v>
      </c>
      <c r="P16" s="713">
        <f>'AT T5 Kassa'!L42</f>
        <v>0</v>
      </c>
      <c r="Q16" s="713">
        <f>'AT T5 Kassa'!M42</f>
        <v>0</v>
      </c>
      <c r="R16" s="713">
        <f>'AT T5 Kassa'!N42</f>
        <v>0</v>
      </c>
      <c r="S16" s="714">
        <f>SUM(G16:R16)</f>
        <v>0</v>
      </c>
    </row>
    <row r="17" spans="1:49" ht="12.6" customHeight="1" x14ac:dyDescent="0.2">
      <c r="A17" s="55"/>
      <c r="B17" s="835">
        <v>4</v>
      </c>
      <c r="C17" s="1992" t="s">
        <v>448</v>
      </c>
      <c r="D17" s="1993"/>
      <c r="E17" s="1994"/>
      <c r="F17" s="396">
        <v>24</v>
      </c>
      <c r="G17" s="718">
        <v>0</v>
      </c>
      <c r="H17" s="718"/>
      <c r="I17" s="718">
        <v>0</v>
      </c>
      <c r="J17" s="718">
        <v>0</v>
      </c>
      <c r="K17" s="718"/>
      <c r="L17" s="718"/>
      <c r="M17" s="718"/>
      <c r="N17" s="718"/>
      <c r="O17" s="718"/>
      <c r="P17" s="718">
        <v>0</v>
      </c>
      <c r="Q17" s="718">
        <v>0</v>
      </c>
      <c r="R17" s="718">
        <v>0</v>
      </c>
      <c r="S17" s="714">
        <f>SUM(G17:R17)</f>
        <v>0</v>
      </c>
      <c r="U17" s="1973" t="s">
        <v>686</v>
      </c>
      <c r="V17" s="1232"/>
    </row>
    <row r="18" spans="1:49" ht="12.6" customHeight="1" thickBot="1" x14ac:dyDescent="0.25">
      <c r="B18" s="836">
        <v>5</v>
      </c>
      <c r="C18" s="1989" t="s">
        <v>521</v>
      </c>
      <c r="D18" s="1990"/>
      <c r="E18" s="1991"/>
      <c r="F18" s="400"/>
      <c r="G18" s="1138">
        <f>IF($H5=1,'2. &amp; 7. T2 TULOSSUUN. '!$I12/12+'3. T3 TASE '!H36,'2. &amp; 7. T2 TULOSSUUN. '!$K12/12+'3. T3 TASE '!I36)</f>
        <v>0</v>
      </c>
      <c r="H18" s="1138">
        <f>IF($H5=1,'2. &amp; 7. T2 TULOSSUUN. '!$I12/12,'2. &amp; 7. T2 TULOSSUUN. '!$K12/12)</f>
        <v>0</v>
      </c>
      <c r="I18" s="1138">
        <f>IF($H5=1,'2. &amp; 7. T2 TULOSSUUN. '!$I12/12,'2. &amp; 7. T2 TULOSSUUN. '!$K12/12)</f>
        <v>0</v>
      </c>
      <c r="J18" s="1138">
        <f>IF($H5=1,'2. &amp; 7. T2 TULOSSUUN. '!$I12/12,'2. &amp; 7. T2 TULOSSUUN. '!$K12/12)</f>
        <v>0</v>
      </c>
      <c r="K18" s="1138">
        <f>IF($H5=1,'2. &amp; 7. T2 TULOSSUUN. '!$I12/12,'2. &amp; 7. T2 TULOSSUUN. '!$K12/12)</f>
        <v>0</v>
      </c>
      <c r="L18" s="1138">
        <f>IF($H5=1,'2. &amp; 7. T2 TULOSSUUN. '!$I12/12,'2. &amp; 7. T2 TULOSSUUN. '!$K12/12)</f>
        <v>0</v>
      </c>
      <c r="M18" s="1138">
        <f>IF($H5=1,'2. &amp; 7. T2 TULOSSUUN. '!$I12/12+'1. T1 INVESTOINTISUUN.'!D59,'2. &amp; 7. T2 TULOSSUUN. '!$K12/12+'1. T1 INVESTOINTISUUN.'!E59)</f>
        <v>0</v>
      </c>
      <c r="N18" s="1138">
        <f>IF($H5=1,'2. &amp; 7. T2 TULOSSUUN. '!$I12/12,'2. &amp; 7. T2 TULOSSUUN. '!$K12/12)</f>
        <v>0</v>
      </c>
      <c r="O18" s="1138">
        <f>IF($H5=1,'2. &amp; 7. T2 TULOSSUUN. '!$I12/12,'2. &amp; 7. T2 TULOSSUUN. '!$K12/12)</f>
        <v>0</v>
      </c>
      <c r="P18" s="1138">
        <f>IF($H5=1,'2. &amp; 7. T2 TULOSSUUN. '!$I12/12,'2. &amp; 7. T2 TULOSSUUN. '!$K12/12)</f>
        <v>0</v>
      </c>
      <c r="Q18" s="1138">
        <f>IF($H5=1,'2. &amp; 7. T2 TULOSSUUN. '!$I12/12,'2. &amp; 7. T2 TULOSSUUN. '!$K12/12)</f>
        <v>0</v>
      </c>
      <c r="R18" s="1138">
        <f>IF($H5=1,'2. &amp; 7. T2 TULOSSUUN. '!$I12/12,'2. &amp; 7. T2 TULOSSUUN. '!$K12/12)</f>
        <v>0</v>
      </c>
      <c r="S18" s="714">
        <f>SUM(G18:R18)</f>
        <v>0</v>
      </c>
      <c r="U18" s="1974"/>
      <c r="V18" s="1232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</row>
    <row r="19" spans="1:49" ht="14.25" thickTop="1" thickBot="1" x14ac:dyDescent="0.25">
      <c r="A19" s="55"/>
      <c r="B19" s="821"/>
      <c r="C19" s="1983" t="s">
        <v>689</v>
      </c>
      <c r="D19" s="1984"/>
      <c r="E19" s="1985"/>
      <c r="F19" s="822"/>
      <c r="G19" s="823">
        <f>G12+G16+G18+G17</f>
        <v>0</v>
      </c>
      <c r="H19" s="823">
        <f t="shared" ref="H19:R19" si="6">H12+H16+H18+H17</f>
        <v>0</v>
      </c>
      <c r="I19" s="823">
        <f t="shared" si="6"/>
        <v>0</v>
      </c>
      <c r="J19" s="823">
        <f t="shared" si="6"/>
        <v>0</v>
      </c>
      <c r="K19" s="823">
        <f t="shared" si="6"/>
        <v>0</v>
      </c>
      <c r="L19" s="823">
        <f t="shared" si="6"/>
        <v>0</v>
      </c>
      <c r="M19" s="823">
        <f t="shared" si="6"/>
        <v>0</v>
      </c>
      <c r="N19" s="823">
        <f t="shared" si="6"/>
        <v>0</v>
      </c>
      <c r="O19" s="823">
        <f t="shared" si="6"/>
        <v>0</v>
      </c>
      <c r="P19" s="823">
        <f t="shared" si="6"/>
        <v>0</v>
      </c>
      <c r="Q19" s="823">
        <f t="shared" si="6"/>
        <v>0</v>
      </c>
      <c r="R19" s="823">
        <f t="shared" si="6"/>
        <v>0</v>
      </c>
      <c r="S19" s="824">
        <f>SUM(G19:R19)</f>
        <v>0</v>
      </c>
      <c r="U19" s="1974"/>
      <c r="V19" s="1232"/>
      <c r="W19" s="55"/>
      <c r="X19" s="1963" t="s">
        <v>194</v>
      </c>
      <c r="Y19" s="1963"/>
      <c r="Z19" s="1963"/>
      <c r="AA19" s="1963"/>
      <c r="AB19" s="1963"/>
      <c r="AC19" s="1963"/>
      <c r="AD19" s="1963"/>
      <c r="AE19" s="1963"/>
      <c r="AF19" s="1963"/>
      <c r="AG19" s="1963" t="s">
        <v>667</v>
      </c>
      <c r="AH19" s="1963"/>
      <c r="AI19" s="1963"/>
      <c r="AJ19" s="1963"/>
      <c r="AK19" s="1963"/>
      <c r="AL19" s="1963"/>
      <c r="AM19" s="1963"/>
      <c r="AN19" s="1963" t="s">
        <v>668</v>
      </c>
      <c r="AO19" s="1963"/>
      <c r="AP19" s="1963"/>
      <c r="AQ19" s="1963"/>
      <c r="AR19" s="1963"/>
      <c r="AS19" s="1963"/>
      <c r="AT19" s="1963"/>
      <c r="AU19" s="2027" t="s">
        <v>18</v>
      </c>
      <c r="AV19" s="2027"/>
      <c r="AW19" s="2027"/>
    </row>
    <row r="20" spans="1:49" ht="4.1500000000000004" customHeight="1" thickTop="1" x14ac:dyDescent="0.2">
      <c r="B20" s="837"/>
      <c r="C20" s="361"/>
      <c r="D20" s="361"/>
      <c r="E20" s="361"/>
      <c r="F20" s="362"/>
      <c r="G20" s="719"/>
      <c r="H20" s="719"/>
      <c r="I20" s="719"/>
      <c r="J20" s="719"/>
      <c r="K20" s="719"/>
      <c r="L20" s="719"/>
      <c r="M20" s="719"/>
      <c r="N20" s="719"/>
      <c r="O20" s="719"/>
      <c r="P20" s="719"/>
      <c r="Q20" s="719"/>
      <c r="R20" s="719"/>
      <c r="S20" s="720" t="s">
        <v>0</v>
      </c>
      <c r="U20" s="1974"/>
      <c r="V20" s="1232"/>
      <c r="W20" s="55"/>
      <c r="X20" s="579"/>
      <c r="Y20" s="579"/>
      <c r="Z20" s="579"/>
      <c r="AA20" s="579"/>
      <c r="AB20" s="579"/>
      <c r="AC20" s="579"/>
      <c r="AD20" s="1184"/>
      <c r="AE20" s="1184"/>
      <c r="AF20" s="1184"/>
      <c r="AG20" s="579"/>
      <c r="AH20" s="579"/>
      <c r="AI20" s="579"/>
      <c r="AJ20" s="579"/>
      <c r="AK20" s="1184"/>
      <c r="AL20" s="1184"/>
      <c r="AM20" s="1184"/>
      <c r="AN20" s="579"/>
      <c r="AO20" s="579"/>
      <c r="AP20" s="579"/>
      <c r="AQ20" s="579"/>
      <c r="AR20" s="1184"/>
      <c r="AS20" s="1184"/>
      <c r="AT20" s="1184"/>
    </row>
    <row r="21" spans="1:49" ht="14.1" customHeight="1" x14ac:dyDescent="0.2">
      <c r="B21" s="1976" t="s">
        <v>691</v>
      </c>
      <c r="C21" s="1977"/>
      <c r="D21" s="1977"/>
      <c r="E21" s="1978"/>
      <c r="F21" s="1351" t="s">
        <v>167</v>
      </c>
      <c r="G21" s="1352">
        <f>G9</f>
        <v>45292</v>
      </c>
      <c r="H21" s="1352">
        <f t="shared" ref="H21:S21" si="7">+H9</f>
        <v>45323</v>
      </c>
      <c r="I21" s="1352">
        <f t="shared" si="7"/>
        <v>45354</v>
      </c>
      <c r="J21" s="1352">
        <f t="shared" si="7"/>
        <v>45385</v>
      </c>
      <c r="K21" s="1352">
        <f t="shared" si="7"/>
        <v>45416</v>
      </c>
      <c r="L21" s="1352">
        <f t="shared" si="7"/>
        <v>45447</v>
      </c>
      <c r="M21" s="1352">
        <f t="shared" si="7"/>
        <v>45478</v>
      </c>
      <c r="N21" s="1352">
        <f t="shared" si="7"/>
        <v>45509</v>
      </c>
      <c r="O21" s="1352">
        <f t="shared" si="7"/>
        <v>45540</v>
      </c>
      <c r="P21" s="1352">
        <f t="shared" si="7"/>
        <v>45571</v>
      </c>
      <c r="Q21" s="1352">
        <f t="shared" si="7"/>
        <v>45602</v>
      </c>
      <c r="R21" s="1352">
        <f t="shared" si="7"/>
        <v>45633</v>
      </c>
      <c r="S21" s="1353" t="str">
        <f t="shared" si="7"/>
        <v>YHT</v>
      </c>
      <c r="T21" s="1343" t="s">
        <v>653</v>
      </c>
      <c r="U21" s="1975"/>
      <c r="V21" s="1232"/>
      <c r="W21" s="55"/>
      <c r="X21" s="1193"/>
      <c r="Y21" s="1194"/>
      <c r="Z21" s="1195" t="s">
        <v>186</v>
      </c>
      <c r="AA21" s="1196" t="s">
        <v>669</v>
      </c>
      <c r="AB21" s="1196" t="s">
        <v>195</v>
      </c>
      <c r="AC21" s="2028" t="s">
        <v>166</v>
      </c>
      <c r="AD21" s="1197" t="s">
        <v>187</v>
      </c>
      <c r="AE21" s="1197" t="s">
        <v>751</v>
      </c>
      <c r="AF21" s="1198" t="s">
        <v>188</v>
      </c>
      <c r="AG21" s="1195" t="s">
        <v>186</v>
      </c>
      <c r="AH21" s="1196" t="s">
        <v>669</v>
      </c>
      <c r="AI21" s="1196" t="s">
        <v>195</v>
      </c>
      <c r="AJ21" s="2028" t="s">
        <v>166</v>
      </c>
      <c r="AK21" s="1197" t="s">
        <v>187</v>
      </c>
      <c r="AL21" s="1197" t="s">
        <v>751</v>
      </c>
      <c r="AM21" s="1198" t="s">
        <v>188</v>
      </c>
      <c r="AN21" s="1199" t="s">
        <v>186</v>
      </c>
      <c r="AO21" s="1196" t="s">
        <v>669</v>
      </c>
      <c r="AP21" s="1196" t="s">
        <v>195</v>
      </c>
      <c r="AQ21" s="2028" t="s">
        <v>166</v>
      </c>
      <c r="AR21" s="1197" t="s">
        <v>187</v>
      </c>
      <c r="AS21" s="1197" t="s">
        <v>751</v>
      </c>
      <c r="AT21" s="1200" t="s">
        <v>188</v>
      </c>
      <c r="AU21" s="1201" t="s">
        <v>187</v>
      </c>
      <c r="AV21" s="1197" t="s">
        <v>751</v>
      </c>
      <c r="AW21" s="1198" t="s">
        <v>188</v>
      </c>
    </row>
    <row r="22" spans="1:49" ht="12.6" customHeight="1" x14ac:dyDescent="0.2">
      <c r="B22" s="838">
        <v>6</v>
      </c>
      <c r="C22" s="1986" t="s">
        <v>155</v>
      </c>
      <c r="D22" s="1987"/>
      <c r="E22" s="1988"/>
      <c r="F22" s="1346">
        <v>24</v>
      </c>
      <c r="G22" s="1139">
        <f>IF(($S12+$S14)*$U22=0,0,(G12+G14)/($S12+$S14)*'9. T5 KASSABUDJETTI '!$U22)</f>
        <v>0</v>
      </c>
      <c r="H22" s="1139">
        <f>IF(($S12+$S14)*$U22=0,0,(H12+H14)/($S12+$S14)*'9. T5 KASSABUDJETTI '!$U22)</f>
        <v>0</v>
      </c>
      <c r="I22" s="1139">
        <f>IF(($S12+$S14)*$U22=0,0,(I12+I14)/($S12+$S14)*'9. T5 KASSABUDJETTI '!$U22)</f>
        <v>0</v>
      </c>
      <c r="J22" s="1139">
        <f>IF(($S12+$S14)*$U22=0,0,(J12+J14)/($S12+$S14)*'9. T5 KASSABUDJETTI '!$U22)</f>
        <v>0</v>
      </c>
      <c r="K22" s="1139">
        <f>IF(($S12+$S14)*$U22=0,0,(K12+K14)/($S12+$S14)*'9. T5 KASSABUDJETTI '!$U22)</f>
        <v>0</v>
      </c>
      <c r="L22" s="1139">
        <f>IF(($S12+$S14)*$U22=0,0,(L12+L14)/($S12+$S14)*'9. T5 KASSABUDJETTI '!$U22)</f>
        <v>0</v>
      </c>
      <c r="M22" s="1139">
        <f>IF(($S12+$S14)*$U22=0,0,(M12+M14)/($S12+$S14)*'9. T5 KASSABUDJETTI '!$U22)</f>
        <v>0</v>
      </c>
      <c r="N22" s="1139">
        <f>IF(($S12+$S14)*$U22=0,0,(N12+N14)/($S12+$S14)*'9. T5 KASSABUDJETTI '!$U22)</f>
        <v>0</v>
      </c>
      <c r="O22" s="1139">
        <f>IF(($S12+$S14)*$U22=0,0,(O12+O14)/($S12+$S14)*'9. T5 KASSABUDJETTI '!$U22)</f>
        <v>0</v>
      </c>
      <c r="P22" s="1139">
        <f>IF(($S12+$S14)*$U22=0,0,(P12+P14)/($S12+$S14)*'9. T5 KASSABUDJETTI '!$U22)</f>
        <v>0</v>
      </c>
      <c r="Q22" s="1139">
        <f>IF(($S12+$S14)*$U22=0,0,(Q12+Q14)/($S12+$S14)*'9. T5 KASSABUDJETTI '!$U22)</f>
        <v>0</v>
      </c>
      <c r="R22" s="1139">
        <f>IF(($S12+$S14)*$U22=0,0,(R12+R14)/($S12+$S14)*'9. T5 KASSABUDJETTI '!$U22)</f>
        <v>0</v>
      </c>
      <c r="S22" s="725">
        <f>SUM(G22:R22)</f>
        <v>0</v>
      </c>
      <c r="T22" s="1150">
        <f>U22-S22</f>
        <v>0</v>
      </c>
      <c r="U22" s="1162">
        <f>-IF(H$5=1,'2. &amp; 7. T2 TULOSSUUN. '!I15+'2. &amp; 7. T2 TULOSSUUN. '!I15*'9. T5 KASSABUDJETTI '!F22/100,'2. &amp; 7. T2 TULOSSUUN. '!K15+'2. &amp; 7. T2 TULOSSUUN. '!K15*'9. T5 KASSABUDJETTI '!F22/100)</f>
        <v>0</v>
      </c>
      <c r="V22" s="1159"/>
      <c r="W22" s="55"/>
      <c r="X22" s="1202"/>
      <c r="Y22" s="1203"/>
      <c r="Z22" s="1204" t="s">
        <v>189</v>
      </c>
      <c r="AA22" s="1205" t="s">
        <v>190</v>
      </c>
      <c r="AB22" s="1205" t="s">
        <v>196</v>
      </c>
      <c r="AC22" s="2029"/>
      <c r="AD22" s="1206" t="s">
        <v>191</v>
      </c>
      <c r="AE22" s="1206" t="s">
        <v>752</v>
      </c>
      <c r="AF22" s="1207" t="s">
        <v>189</v>
      </c>
      <c r="AG22" s="1204" t="s">
        <v>189</v>
      </c>
      <c r="AH22" s="1205" t="s">
        <v>190</v>
      </c>
      <c r="AI22" s="1205" t="s">
        <v>196</v>
      </c>
      <c r="AJ22" s="2029"/>
      <c r="AK22" s="1206" t="s">
        <v>191</v>
      </c>
      <c r="AL22" s="1206" t="s">
        <v>752</v>
      </c>
      <c r="AM22" s="1207" t="s">
        <v>189</v>
      </c>
      <c r="AN22" s="1208" t="s">
        <v>189</v>
      </c>
      <c r="AO22" s="1205" t="s">
        <v>190</v>
      </c>
      <c r="AP22" s="1205" t="s">
        <v>196</v>
      </c>
      <c r="AQ22" s="2029"/>
      <c r="AR22" s="1206" t="s">
        <v>191</v>
      </c>
      <c r="AS22" s="1206" t="s">
        <v>752</v>
      </c>
      <c r="AT22" s="428" t="s">
        <v>189</v>
      </c>
      <c r="AU22" s="1209" t="s">
        <v>191</v>
      </c>
      <c r="AV22" s="1206" t="s">
        <v>752</v>
      </c>
      <c r="AW22" s="1207" t="s">
        <v>189</v>
      </c>
    </row>
    <row r="23" spans="1:49" ht="12.6" customHeight="1" x14ac:dyDescent="0.2">
      <c r="B23" s="839">
        <f t="shared" ref="B23:B42" si="8">B22+1</f>
        <v>7</v>
      </c>
      <c r="C23" s="1944" t="s">
        <v>161</v>
      </c>
      <c r="D23" s="1964"/>
      <c r="E23" s="1965"/>
      <c r="F23" s="423">
        <v>24</v>
      </c>
      <c r="G23" s="721">
        <v>0</v>
      </c>
      <c r="H23" s="721">
        <v>0</v>
      </c>
      <c r="I23" s="721">
        <v>0</v>
      </c>
      <c r="J23" s="721">
        <v>0</v>
      </c>
      <c r="K23" s="721"/>
      <c r="L23" s="721"/>
      <c r="M23" s="721"/>
      <c r="N23" s="721">
        <v>0</v>
      </c>
      <c r="O23" s="721"/>
      <c r="P23" s="721"/>
      <c r="Q23" s="721"/>
      <c r="R23" s="721"/>
      <c r="S23" s="712">
        <f>SUM(G23:R23)</f>
        <v>0</v>
      </c>
      <c r="T23" s="1151" t="s">
        <v>0</v>
      </c>
      <c r="U23" s="1152"/>
      <c r="V23" s="1159"/>
      <c r="W23" s="55"/>
      <c r="X23" s="1210"/>
      <c r="Y23" s="1211"/>
      <c r="Z23" s="1966" t="s">
        <v>0</v>
      </c>
      <c r="AA23" s="1967"/>
      <c r="AB23" s="1212"/>
      <c r="AC23" s="1213"/>
      <c r="AD23" s="1214">
        <v>1.5299999999999999E-2</v>
      </c>
      <c r="AE23" s="1215">
        <v>0</v>
      </c>
      <c r="AF23" s="1216"/>
      <c r="AG23" s="1966" t="s">
        <v>0</v>
      </c>
      <c r="AH23" s="1967"/>
      <c r="AI23" s="1212">
        <v>0</v>
      </c>
      <c r="AJ23" s="1212"/>
      <c r="AK23" s="1217">
        <f>AD23</f>
        <v>1.5299999999999999E-2</v>
      </c>
      <c r="AL23" s="1218">
        <v>8.6499999999999994E-2</v>
      </c>
      <c r="AM23" s="1216"/>
      <c r="AN23" s="2030" t="s">
        <v>0</v>
      </c>
      <c r="AO23" s="1967"/>
      <c r="AP23" s="1212" t="s">
        <v>0</v>
      </c>
      <c r="AQ23" s="1212"/>
      <c r="AR23" s="1217">
        <f>AD23</f>
        <v>1.5299999999999999E-2</v>
      </c>
      <c r="AS23" s="1217">
        <f>AL23</f>
        <v>8.6499999999999994E-2</v>
      </c>
      <c r="AT23" s="1219"/>
      <c r="AU23" s="1220"/>
      <c r="AV23" s="1221">
        <f>AS23</f>
        <v>8.6499999999999994E-2</v>
      </c>
      <c r="AW23" s="1222"/>
    </row>
    <row r="24" spans="1:49" ht="12.6" customHeight="1" x14ac:dyDescent="0.2">
      <c r="B24" s="839">
        <f t="shared" si="8"/>
        <v>8</v>
      </c>
      <c r="C24" s="556" t="s">
        <v>185</v>
      </c>
      <c r="D24" s="557"/>
      <c r="E24" s="558"/>
      <c r="F24" s="423">
        <v>24</v>
      </c>
      <c r="G24" s="721">
        <f>$U24/12</f>
        <v>0</v>
      </c>
      <c r="H24" s="721">
        <f t="shared" ref="H24:R24" si="9">$U24/12</f>
        <v>0</v>
      </c>
      <c r="I24" s="721">
        <f t="shared" si="9"/>
        <v>0</v>
      </c>
      <c r="J24" s="721">
        <f t="shared" si="9"/>
        <v>0</v>
      </c>
      <c r="K24" s="721">
        <f t="shared" si="9"/>
        <v>0</v>
      </c>
      <c r="L24" s="721">
        <f t="shared" si="9"/>
        <v>0</v>
      </c>
      <c r="M24" s="721">
        <f t="shared" si="9"/>
        <v>0</v>
      </c>
      <c r="N24" s="721">
        <f t="shared" si="9"/>
        <v>0</v>
      </c>
      <c r="O24" s="721">
        <f t="shared" si="9"/>
        <v>0</v>
      </c>
      <c r="P24" s="721">
        <f t="shared" si="9"/>
        <v>0</v>
      </c>
      <c r="Q24" s="721">
        <f t="shared" si="9"/>
        <v>0</v>
      </c>
      <c r="R24" s="721">
        <f t="shared" si="9"/>
        <v>0</v>
      </c>
      <c r="S24" s="712">
        <f>SUM(G24:R24)</f>
        <v>0</v>
      </c>
      <c r="T24" s="1150">
        <f t="shared" ref="T24:T40" si="10">U24-S24</f>
        <v>0</v>
      </c>
      <c r="U24" s="1162">
        <f>-IF(H$5=1,'2. &amp; 7. T2 TULOSSUUN. '!I16+'2. &amp; 7. T2 TULOSSUUN. '!I16*'9. T5 KASSABUDJETTI '!F24/100,'2. &amp; 7. T2 TULOSSUUN. '!K16+'2. &amp; 7. T2 TULOSSUUN. '!K16*'9. T5 KASSABUDJETTI '!F24/100)</f>
        <v>0</v>
      </c>
      <c r="V24" s="1159"/>
      <c r="W24" s="55"/>
      <c r="X24" s="2031" t="s">
        <v>670</v>
      </c>
      <c r="Y24" s="2032"/>
      <c r="Z24" s="939">
        <f>'5. E1 KUSTANNUKSET '!F12</f>
        <v>0</v>
      </c>
      <c r="AA24" s="1223">
        <f>'5. E1 KUSTANNUKSET '!F14*'5. E1 KUSTANNUKSET '!F15</f>
        <v>0</v>
      </c>
      <c r="AB24" s="1223">
        <f>AA24+Z24</f>
        <v>0</v>
      </c>
      <c r="AC24" s="1224">
        <f>'5. E1 KUSTANNUKSET '!F16</f>
        <v>0.28999999999999998</v>
      </c>
      <c r="AD24" s="1225">
        <f>(AC24+AD$23)*AB24</f>
        <v>0</v>
      </c>
      <c r="AE24" s="1215">
        <v>0</v>
      </c>
      <c r="AF24" s="1226">
        <f>Z24-AB24*AC24</f>
        <v>0</v>
      </c>
      <c r="AG24" s="939">
        <f>'5. E1 KUSTANNUKSET '!F17</f>
        <v>0</v>
      </c>
      <c r="AH24" s="1223">
        <f>'5. E1 KUSTANNUKSET '!F22</f>
        <v>0</v>
      </c>
      <c r="AI24" s="1223">
        <f>AH24+AG24</f>
        <v>0</v>
      </c>
      <c r="AJ24" s="1224">
        <f>'5. E1 KUSTANNUKSET '!F23</f>
        <v>0.25</v>
      </c>
      <c r="AK24" s="1225">
        <f>(AJ24+AK$23)*AI24</f>
        <v>0</v>
      </c>
      <c r="AL24" s="1227">
        <f>AL23*AI24</f>
        <v>0</v>
      </c>
      <c r="AM24" s="1226">
        <f>AG24-AI24*AJ24-AL24</f>
        <v>0</v>
      </c>
      <c r="AN24" s="1172">
        <f>'5. E1 KUSTANNUKSET '!F24</f>
        <v>0</v>
      </c>
      <c r="AO24" s="1223">
        <f>'5. E1 KUSTANNUKSET '!F28</f>
        <v>0</v>
      </c>
      <c r="AP24" s="1223">
        <f>AO24+AN24</f>
        <v>0</v>
      </c>
      <c r="AQ24" s="1224">
        <f>'5. E1 KUSTANNUKSET '!F29</f>
        <v>0.27</v>
      </c>
      <c r="AR24" s="1225">
        <f>(AQ24+AR$23)*AP24</f>
        <v>0</v>
      </c>
      <c r="AS24" s="1227">
        <f>AS23*AP24</f>
        <v>0</v>
      </c>
      <c r="AT24" s="1226">
        <f>AN24-AP24*AQ24-AS24</f>
        <v>0</v>
      </c>
      <c r="AU24" s="663">
        <f t="shared" ref="AU24:AW25" si="11">AR24+AK24+AD24</f>
        <v>0</v>
      </c>
      <c r="AV24" s="1228">
        <f t="shared" si="11"/>
        <v>0</v>
      </c>
      <c r="AW24" s="1229">
        <f t="shared" si="11"/>
        <v>0</v>
      </c>
    </row>
    <row r="25" spans="1:49" ht="12.6" customHeight="1" x14ac:dyDescent="0.2">
      <c r="B25" s="839">
        <f t="shared" si="8"/>
        <v>9</v>
      </c>
      <c r="C25" s="1944" t="s">
        <v>466</v>
      </c>
      <c r="D25" s="1964"/>
      <c r="E25" s="1965"/>
      <c r="F25" s="423">
        <v>24</v>
      </c>
      <c r="G25" s="721">
        <v>0</v>
      </c>
      <c r="H25" s="721">
        <v>0</v>
      </c>
      <c r="I25" s="721">
        <v>0</v>
      </c>
      <c r="J25" s="721">
        <v>0</v>
      </c>
      <c r="K25" s="721">
        <v>0</v>
      </c>
      <c r="L25" s="721">
        <v>0</v>
      </c>
      <c r="M25" s="721">
        <v>0</v>
      </c>
      <c r="N25" s="721">
        <v>0</v>
      </c>
      <c r="O25" s="721">
        <v>0</v>
      </c>
      <c r="P25" s="721">
        <v>0</v>
      </c>
      <c r="Q25" s="721">
        <v>0</v>
      </c>
      <c r="R25" s="721"/>
      <c r="S25" s="712">
        <f>SUM(G25:R25)</f>
        <v>0</v>
      </c>
      <c r="T25" s="1151" t="s">
        <v>0</v>
      </c>
      <c r="U25" s="1152"/>
      <c r="V25" s="1159"/>
      <c r="W25" s="55"/>
      <c r="X25" s="2031" t="s">
        <v>671</v>
      </c>
      <c r="Y25" s="2032"/>
      <c r="Z25" s="939">
        <f>'5. E1 KUSTANNUKSET '!H12</f>
        <v>0</v>
      </c>
      <c r="AA25" s="1223">
        <f>'5. E1 KUSTANNUKSET '!H14*'5. E1 KUSTANNUKSET '!H15</f>
        <v>0</v>
      </c>
      <c r="AB25" s="1223">
        <f>AA25+Z25</f>
        <v>0</v>
      </c>
      <c r="AC25" s="1224">
        <f>'5. E1 KUSTANNUKSET '!H16</f>
        <v>0.28999999999999998</v>
      </c>
      <c r="AD25" s="1230">
        <f>(AC25+AD$23)*AB25</f>
        <v>0</v>
      </c>
      <c r="AE25" s="1217">
        <v>0</v>
      </c>
      <c r="AF25" s="1226">
        <f>Z25-AB25*AC25</f>
        <v>0</v>
      </c>
      <c r="AG25" s="939">
        <f>'5. E1 KUSTANNUKSET '!H17</f>
        <v>0</v>
      </c>
      <c r="AH25" s="1223">
        <f>'5. E1 KUSTANNUKSET '!H22</f>
        <v>0</v>
      </c>
      <c r="AI25" s="1223">
        <f>AH25+AG25</f>
        <v>0</v>
      </c>
      <c r="AJ25" s="1224">
        <f>'5. E1 KUSTANNUKSET '!H23</f>
        <v>0.25</v>
      </c>
      <c r="AK25" s="1230">
        <f>(AJ25+AK$23)*AI25</f>
        <v>0</v>
      </c>
      <c r="AL25" s="1227">
        <f>AI25*AL23</f>
        <v>0</v>
      </c>
      <c r="AM25" s="1226">
        <f>AG25-AI25*AJ25-AL25</f>
        <v>0</v>
      </c>
      <c r="AN25" s="1172">
        <f>'5. E1 KUSTANNUKSET '!H24</f>
        <v>0</v>
      </c>
      <c r="AO25" s="1223">
        <f>'5. E1 KUSTANNUKSET '!H28</f>
        <v>0</v>
      </c>
      <c r="AP25" s="1223">
        <f>AO25+AN25</f>
        <v>0</v>
      </c>
      <c r="AQ25" s="1224">
        <f>'5. E1 KUSTANNUKSET '!H29</f>
        <v>0.27</v>
      </c>
      <c r="AR25" s="1230">
        <f>(AQ25+AR$23)*AP25</f>
        <v>0</v>
      </c>
      <c r="AS25" s="1227">
        <f>AP25*AS23</f>
        <v>0</v>
      </c>
      <c r="AT25" s="1226">
        <f>AN25-AP25*AQ25-AS25</f>
        <v>0</v>
      </c>
      <c r="AU25" s="663">
        <f t="shared" si="11"/>
        <v>0</v>
      </c>
      <c r="AV25" s="1228">
        <f t="shared" si="11"/>
        <v>0</v>
      </c>
      <c r="AW25" s="1229">
        <f t="shared" si="11"/>
        <v>0</v>
      </c>
    </row>
    <row r="26" spans="1:49" ht="12.6" customHeight="1" x14ac:dyDescent="0.2">
      <c r="B26" s="839">
        <f t="shared" si="8"/>
        <v>10</v>
      </c>
      <c r="C26" s="1968" t="s">
        <v>520</v>
      </c>
      <c r="D26" s="1969"/>
      <c r="E26" s="1970"/>
      <c r="F26" s="423">
        <v>24</v>
      </c>
      <c r="G26" s="721">
        <f>$U26/12</f>
        <v>0</v>
      </c>
      <c r="H26" s="721">
        <f t="shared" ref="H26:R27" si="12">$U26/12</f>
        <v>0</v>
      </c>
      <c r="I26" s="721">
        <f t="shared" si="12"/>
        <v>0</v>
      </c>
      <c r="J26" s="721">
        <f t="shared" si="12"/>
        <v>0</v>
      </c>
      <c r="K26" s="721">
        <f t="shared" si="12"/>
        <v>0</v>
      </c>
      <c r="L26" s="721">
        <f t="shared" si="12"/>
        <v>0</v>
      </c>
      <c r="M26" s="721">
        <f t="shared" si="12"/>
        <v>0</v>
      </c>
      <c r="N26" s="721">
        <f t="shared" si="12"/>
        <v>0</v>
      </c>
      <c r="O26" s="721">
        <f t="shared" si="12"/>
        <v>0</v>
      </c>
      <c r="P26" s="721">
        <f t="shared" si="12"/>
        <v>0</v>
      </c>
      <c r="Q26" s="721">
        <f t="shared" si="12"/>
        <v>0</v>
      </c>
      <c r="R26" s="721">
        <f t="shared" si="12"/>
        <v>0</v>
      </c>
      <c r="S26" s="712">
        <f t="shared" ref="S26:S36" si="13">SUM(G26:R26)</f>
        <v>0</v>
      </c>
      <c r="T26" s="1150">
        <f t="shared" si="10"/>
        <v>0</v>
      </c>
      <c r="U26" s="1162">
        <f>IF(H5=1,'5. E1 KUSTANNUKSET '!F53+'5. E1 KUSTANNUKSET '!F53*F26/100,'5. E1 KUSTANNUKSET '!H53+'5. E1 KUSTANNUKSET '!H53*'9. T5 KASSABUDJETTI '!F26/100)</f>
        <v>0</v>
      </c>
      <c r="V26" s="1159"/>
      <c r="W26" s="55"/>
      <c r="X26" s="1190"/>
      <c r="Y26" s="175"/>
      <c r="Z26" s="190"/>
      <c r="AA26" s="190"/>
      <c r="AB26" s="190"/>
      <c r="AC26" s="190"/>
      <c r="AD26" s="190"/>
      <c r="AE26" s="190"/>
      <c r="AF26" s="174"/>
      <c r="AG26" s="174"/>
      <c r="AH26" s="174"/>
      <c r="AI26" s="174"/>
      <c r="AJ26" s="174"/>
      <c r="AK26" s="174"/>
      <c r="AL26" s="174"/>
      <c r="AM26" s="174"/>
      <c r="AN26" s="174"/>
    </row>
    <row r="27" spans="1:49" ht="12.6" customHeight="1" x14ac:dyDescent="0.2">
      <c r="B27" s="839">
        <f t="shared" si="8"/>
        <v>11</v>
      </c>
      <c r="C27" s="1944" t="s">
        <v>498</v>
      </c>
      <c r="D27" s="1964"/>
      <c r="E27" s="1965"/>
      <c r="F27" s="423">
        <v>24</v>
      </c>
      <c r="G27" s="721">
        <f>$U27/12</f>
        <v>0</v>
      </c>
      <c r="H27" s="721">
        <f t="shared" si="12"/>
        <v>0</v>
      </c>
      <c r="I27" s="721">
        <f t="shared" si="12"/>
        <v>0</v>
      </c>
      <c r="J27" s="721">
        <f t="shared" si="12"/>
        <v>0</v>
      </c>
      <c r="K27" s="721">
        <f t="shared" si="12"/>
        <v>0</v>
      </c>
      <c r="L27" s="721">
        <f t="shared" si="12"/>
        <v>0</v>
      </c>
      <c r="M27" s="721">
        <f t="shared" si="12"/>
        <v>0</v>
      </c>
      <c r="N27" s="721">
        <f t="shared" si="12"/>
        <v>0</v>
      </c>
      <c r="O27" s="721">
        <f t="shared" si="12"/>
        <v>0</v>
      </c>
      <c r="P27" s="721">
        <f t="shared" si="12"/>
        <v>0</v>
      </c>
      <c r="Q27" s="721">
        <f t="shared" si="12"/>
        <v>0</v>
      </c>
      <c r="R27" s="721">
        <f t="shared" si="12"/>
        <v>0</v>
      </c>
      <c r="S27" s="712">
        <f>SUM(G27:R27)</f>
        <v>0</v>
      </c>
      <c r="T27" s="1150">
        <f t="shared" si="10"/>
        <v>0</v>
      </c>
      <c r="U27" s="1162">
        <f>IF(H5=1,'5. E1 KUSTANNUKSET '!F64+'5. E1 KUSTANNUKSET '!F64*'9. T5 KASSABUDJETTI '!F27/100,'5. E1 KUSTANNUKSET '!H64+'5. E1 KUSTANNUKSET '!H64*'9. T5 KASSABUDJETTI '!F27/100)</f>
        <v>0</v>
      </c>
      <c r="V27" s="1159"/>
      <c r="W27" s="55"/>
      <c r="X27" s="1190"/>
      <c r="Y27" s="175"/>
      <c r="Z27" s="190"/>
      <c r="AA27" s="190"/>
      <c r="AB27" s="190"/>
      <c r="AC27" s="190"/>
      <c r="AD27" s="190"/>
      <c r="AE27" s="190"/>
      <c r="AF27" s="174"/>
      <c r="AG27" s="174"/>
      <c r="AH27" s="174"/>
      <c r="AI27" s="174"/>
      <c r="AJ27" s="174"/>
      <c r="AK27" s="174"/>
      <c r="AL27" s="174"/>
      <c r="AM27" s="174"/>
      <c r="AN27" s="174"/>
    </row>
    <row r="28" spans="1:49" ht="12.6" customHeight="1" x14ac:dyDescent="0.2">
      <c r="B28" s="839">
        <f t="shared" si="8"/>
        <v>12</v>
      </c>
      <c r="C28" s="1944" t="s">
        <v>646</v>
      </c>
      <c r="D28" s="1964"/>
      <c r="E28" s="1965"/>
      <c r="F28" s="423">
        <v>24</v>
      </c>
      <c r="G28" s="721">
        <f>$U28/12</f>
        <v>0</v>
      </c>
      <c r="H28" s="721">
        <f t="shared" ref="H28:R28" si="14">$U28/12</f>
        <v>0</v>
      </c>
      <c r="I28" s="721">
        <f t="shared" si="14"/>
        <v>0</v>
      </c>
      <c r="J28" s="721">
        <f t="shared" si="14"/>
        <v>0</v>
      </c>
      <c r="K28" s="721">
        <f t="shared" si="14"/>
        <v>0</v>
      </c>
      <c r="L28" s="721">
        <f t="shared" si="14"/>
        <v>0</v>
      </c>
      <c r="M28" s="721">
        <f t="shared" si="14"/>
        <v>0</v>
      </c>
      <c r="N28" s="721">
        <f t="shared" si="14"/>
        <v>0</v>
      </c>
      <c r="O28" s="721">
        <f t="shared" si="14"/>
        <v>0</v>
      </c>
      <c r="P28" s="721">
        <f t="shared" si="14"/>
        <v>0</v>
      </c>
      <c r="Q28" s="721">
        <f t="shared" si="14"/>
        <v>0</v>
      </c>
      <c r="R28" s="721">
        <f t="shared" si="14"/>
        <v>0</v>
      </c>
      <c r="S28" s="712">
        <f t="shared" si="13"/>
        <v>0</v>
      </c>
      <c r="T28" s="1150">
        <f t="shared" si="10"/>
        <v>0</v>
      </c>
      <c r="U28" s="1163">
        <f>IF(H5=1,'AT2 Lainat,sotum., alv-osto'!B95+'AT2 Lainat,sotum., alv-osto'!B95*F28/100,'AT2 Lainat,sotum., alv-osto'!D95+'AT2 Lainat,sotum., alv-osto'!D95*'9. T5 KASSABUDJETTI '!F28/100)</f>
        <v>0</v>
      </c>
      <c r="V28" s="1233"/>
      <c r="W28" s="55"/>
      <c r="X28" s="1190"/>
      <c r="Y28" s="175"/>
      <c r="Z28" s="190"/>
      <c r="AA28" s="190"/>
      <c r="AB28" s="190"/>
      <c r="AC28" s="190"/>
      <c r="AD28" s="190"/>
      <c r="AE28" s="190"/>
      <c r="AF28" s="174"/>
      <c r="AG28" s="174"/>
      <c r="AH28" s="174"/>
      <c r="AI28" s="174"/>
      <c r="AJ28" s="174"/>
      <c r="AK28" s="174"/>
      <c r="AL28" s="174"/>
      <c r="AM28" s="174"/>
      <c r="AN28" s="174"/>
    </row>
    <row r="29" spans="1:49" ht="12.6" customHeight="1" x14ac:dyDescent="0.2">
      <c r="B29" s="839">
        <f t="shared" si="8"/>
        <v>13</v>
      </c>
      <c r="C29" s="1944" t="s">
        <v>156</v>
      </c>
      <c r="D29" s="1945"/>
      <c r="E29" s="1946"/>
      <c r="F29" s="2005"/>
      <c r="G29" s="722">
        <f>IF(H5=1,'3. T3 TASE '!G88/2,'3. T3 TASE '!H88/2)</f>
        <v>0</v>
      </c>
      <c r="H29" s="722">
        <f>G29</f>
        <v>0</v>
      </c>
      <c r="I29" s="722">
        <f>'AT1 Avustus, alv-laskenta '!K26</f>
        <v>0</v>
      </c>
      <c r="J29" s="722">
        <f>'AT1 Avustus, alv-laskenta '!L26</f>
        <v>0</v>
      </c>
      <c r="K29" s="722">
        <f>'AT1 Avustus, alv-laskenta '!M26</f>
        <v>0</v>
      </c>
      <c r="L29" s="722">
        <f>'AT1 Avustus, alv-laskenta '!N26</f>
        <v>0</v>
      </c>
      <c r="M29" s="722">
        <f>'AT1 Avustus, alv-laskenta '!O26</f>
        <v>0</v>
      </c>
      <c r="N29" s="722">
        <f>'AT1 Avustus, alv-laskenta '!P26</f>
        <v>0</v>
      </c>
      <c r="O29" s="722">
        <f>'AT1 Avustus, alv-laskenta '!Q26</f>
        <v>0</v>
      </c>
      <c r="P29" s="722">
        <f>'AT1 Avustus, alv-laskenta '!R26</f>
        <v>0</v>
      </c>
      <c r="Q29" s="722">
        <f>'AT1 Avustus, alv-laskenta '!S26</f>
        <v>0</v>
      </c>
      <c r="R29" s="722">
        <f>'AT1 Avustus, alv-laskenta '!T26</f>
        <v>0</v>
      </c>
      <c r="S29" s="712">
        <f t="shared" si="13"/>
        <v>0</v>
      </c>
      <c r="T29" s="1153" t="s">
        <v>0</v>
      </c>
      <c r="U29" s="1154"/>
      <c r="V29" s="1159"/>
      <c r="W29" s="55"/>
      <c r="X29" s="1190"/>
      <c r="Y29" s="175"/>
      <c r="Z29" s="190"/>
      <c r="AA29" s="190"/>
      <c r="AB29" s="190"/>
      <c r="AC29" s="190"/>
      <c r="AD29" s="190"/>
      <c r="AE29" s="190"/>
      <c r="AF29" s="174"/>
      <c r="AG29" s="174"/>
      <c r="AH29" s="174"/>
      <c r="AI29" s="174"/>
      <c r="AJ29" s="174"/>
      <c r="AK29" s="174"/>
      <c r="AL29" s="174"/>
      <c r="AM29" s="174"/>
      <c r="AN29" s="174"/>
    </row>
    <row r="30" spans="1:49" ht="12.6" customHeight="1" x14ac:dyDescent="0.2">
      <c r="B30" s="839">
        <f t="shared" si="8"/>
        <v>14</v>
      </c>
      <c r="C30" s="556" t="s">
        <v>157</v>
      </c>
      <c r="D30" s="1422"/>
      <c r="E30" s="1422"/>
      <c r="F30" s="2006"/>
      <c r="G30" s="722">
        <f>IF(H5=1,AW24/12,AW25/12)</f>
        <v>0</v>
      </c>
      <c r="H30" s="722">
        <f>G30</f>
        <v>0</v>
      </c>
      <c r="I30" s="722">
        <f t="shared" ref="I30:R30" si="15">H30</f>
        <v>0</v>
      </c>
      <c r="J30" s="722">
        <f t="shared" si="15"/>
        <v>0</v>
      </c>
      <c r="K30" s="722">
        <f t="shared" si="15"/>
        <v>0</v>
      </c>
      <c r="L30" s="722">
        <f t="shared" si="15"/>
        <v>0</v>
      </c>
      <c r="M30" s="722">
        <f t="shared" si="15"/>
        <v>0</v>
      </c>
      <c r="N30" s="722">
        <f t="shared" si="15"/>
        <v>0</v>
      </c>
      <c r="O30" s="722">
        <f t="shared" si="15"/>
        <v>0</v>
      </c>
      <c r="P30" s="722">
        <f t="shared" si="15"/>
        <v>0</v>
      </c>
      <c r="Q30" s="722">
        <f t="shared" si="15"/>
        <v>0</v>
      </c>
      <c r="R30" s="722">
        <f t="shared" si="15"/>
        <v>0</v>
      </c>
      <c r="S30" s="712">
        <f t="shared" si="13"/>
        <v>0</v>
      </c>
      <c r="T30" s="1155" t="s">
        <v>0</v>
      </c>
      <c r="U30" s="1156"/>
      <c r="V30" s="1156"/>
      <c r="W30" s="55"/>
      <c r="X30" s="1190"/>
      <c r="Y30" s="175"/>
      <c r="Z30" s="190"/>
      <c r="AA30" s="190"/>
      <c r="AB30" s="190"/>
      <c r="AC30" s="190"/>
      <c r="AD30" s="190"/>
      <c r="AE30" s="190"/>
      <c r="AF30" s="174"/>
      <c r="AG30" s="174"/>
      <c r="AH30" s="174"/>
      <c r="AI30" s="174"/>
      <c r="AJ30" s="174"/>
      <c r="AK30" s="174"/>
      <c r="AL30" s="174"/>
      <c r="AM30" s="174"/>
      <c r="AN30" s="174"/>
    </row>
    <row r="31" spans="1:49" ht="12.6" customHeight="1" x14ac:dyDescent="0.2">
      <c r="B31" s="839">
        <f t="shared" si="8"/>
        <v>15</v>
      </c>
      <c r="C31" s="1417" t="s">
        <v>676</v>
      </c>
      <c r="D31" s="471"/>
      <c r="E31" s="471"/>
      <c r="F31" s="2007"/>
      <c r="G31" s="722">
        <f>IF(H5=1,'3. T3 TASE '!H85+'3. T3 TASE '!H87,'3. T3 TASE '!I85+'3. T3 TASE '!I87)</f>
        <v>0</v>
      </c>
      <c r="H31" s="722">
        <f>IF(H5=1,AU24/12,AU25/12)</f>
        <v>0</v>
      </c>
      <c r="I31" s="722">
        <f>H31</f>
        <v>0</v>
      </c>
      <c r="J31" s="722">
        <f t="shared" ref="J31:R31" si="16">I31</f>
        <v>0</v>
      </c>
      <c r="K31" s="722">
        <f t="shared" si="16"/>
        <v>0</v>
      </c>
      <c r="L31" s="722">
        <f t="shared" si="16"/>
        <v>0</v>
      </c>
      <c r="M31" s="722">
        <f t="shared" si="16"/>
        <v>0</v>
      </c>
      <c r="N31" s="722">
        <f t="shared" si="16"/>
        <v>0</v>
      </c>
      <c r="O31" s="722">
        <f t="shared" si="16"/>
        <v>0</v>
      </c>
      <c r="P31" s="722">
        <f t="shared" si="16"/>
        <v>0</v>
      </c>
      <c r="Q31" s="722">
        <f t="shared" si="16"/>
        <v>0</v>
      </c>
      <c r="R31" s="722">
        <f t="shared" si="16"/>
        <v>0</v>
      </c>
      <c r="S31" s="712">
        <f t="shared" si="13"/>
        <v>0</v>
      </c>
      <c r="T31" s="1155" t="s">
        <v>0</v>
      </c>
      <c r="U31" s="1156"/>
      <c r="V31" s="1156"/>
      <c r="W31" s="55"/>
      <c r="X31" s="1190"/>
      <c r="Y31" s="175"/>
      <c r="Z31" s="190"/>
      <c r="AA31" s="190"/>
      <c r="AB31" s="190"/>
      <c r="AC31" s="190"/>
      <c r="AD31" s="190"/>
      <c r="AE31" s="190"/>
      <c r="AF31" s="174"/>
      <c r="AG31" s="174"/>
      <c r="AH31" s="174"/>
      <c r="AI31" s="174"/>
      <c r="AJ31" s="174"/>
      <c r="AK31" s="174"/>
      <c r="AL31" s="174"/>
      <c r="AM31" s="174"/>
      <c r="AN31" s="174"/>
    </row>
    <row r="32" spans="1:49" ht="12.6" customHeight="1" x14ac:dyDescent="0.2">
      <c r="B32" s="839">
        <f t="shared" si="8"/>
        <v>16</v>
      </c>
      <c r="C32" s="556" t="s">
        <v>499</v>
      </c>
      <c r="D32" s="557"/>
      <c r="E32" s="558"/>
      <c r="F32" s="1479">
        <v>25.8</v>
      </c>
      <c r="G32" s="722">
        <f>IF(H5=1,($F32%*'5. E1 KUSTANNUKSET '!F35)/12,(F32%*'5. E1 KUSTANNUKSET '!H35)/12)</f>
        <v>0</v>
      </c>
      <c r="H32" s="722">
        <f>G32</f>
        <v>0</v>
      </c>
      <c r="I32" s="722">
        <f t="shared" ref="I32:R33" si="17">H32</f>
        <v>0</v>
      </c>
      <c r="J32" s="722">
        <f t="shared" si="17"/>
        <v>0</v>
      </c>
      <c r="K32" s="722">
        <f t="shared" si="17"/>
        <v>0</v>
      </c>
      <c r="L32" s="722">
        <f t="shared" si="17"/>
        <v>0</v>
      </c>
      <c r="M32" s="722">
        <f t="shared" si="17"/>
        <v>0</v>
      </c>
      <c r="N32" s="722">
        <f t="shared" si="17"/>
        <v>0</v>
      </c>
      <c r="O32" s="722">
        <f t="shared" si="17"/>
        <v>0</v>
      </c>
      <c r="P32" s="722">
        <f t="shared" si="17"/>
        <v>0</v>
      </c>
      <c r="Q32" s="722">
        <f t="shared" si="17"/>
        <v>0</v>
      </c>
      <c r="R32" s="722">
        <f t="shared" si="17"/>
        <v>0</v>
      </c>
      <c r="S32" s="712">
        <f t="shared" si="13"/>
        <v>0</v>
      </c>
      <c r="T32" s="1155" t="s">
        <v>0</v>
      </c>
      <c r="U32" s="1156"/>
      <c r="V32" s="1156"/>
      <c r="W32" s="55"/>
      <c r="X32" s="1190"/>
      <c r="Y32" s="175"/>
      <c r="Z32" s="190"/>
      <c r="AA32" s="190"/>
      <c r="AB32" s="190"/>
      <c r="AC32" s="190"/>
      <c r="AD32" s="190"/>
      <c r="AE32" s="190"/>
      <c r="AF32" s="174"/>
      <c r="AG32" s="174"/>
      <c r="AH32" s="174"/>
      <c r="AI32" s="174"/>
      <c r="AJ32" s="174"/>
      <c r="AK32" s="174"/>
      <c r="AL32" s="174"/>
      <c r="AM32" s="174"/>
      <c r="AN32" s="174"/>
    </row>
    <row r="33" spans="2:40" ht="12.6" customHeight="1" x14ac:dyDescent="0.2">
      <c r="B33" s="839">
        <f t="shared" si="8"/>
        <v>17</v>
      </c>
      <c r="C33" s="2033" t="s">
        <v>316</v>
      </c>
      <c r="D33" s="2034"/>
      <c r="E33" s="2035"/>
      <c r="F33" s="1480">
        <v>27.56</v>
      </c>
      <c r="G33" s="722">
        <f>$F33/100*IF(H5=1,AI24/12+AP24/12,AI25/12+AP25/12)</f>
        <v>0</v>
      </c>
      <c r="H33" s="722">
        <f>G33</f>
        <v>0</v>
      </c>
      <c r="I33" s="722">
        <f t="shared" si="17"/>
        <v>0</v>
      </c>
      <c r="J33" s="722">
        <f t="shared" si="17"/>
        <v>0</v>
      </c>
      <c r="K33" s="722">
        <f t="shared" si="17"/>
        <v>0</v>
      </c>
      <c r="L33" s="722">
        <f t="shared" si="17"/>
        <v>0</v>
      </c>
      <c r="M33" s="722">
        <f t="shared" si="17"/>
        <v>0</v>
      </c>
      <c r="N33" s="722">
        <f t="shared" si="17"/>
        <v>0</v>
      </c>
      <c r="O33" s="722">
        <f t="shared" si="17"/>
        <v>0</v>
      </c>
      <c r="P33" s="722">
        <f t="shared" si="17"/>
        <v>0</v>
      </c>
      <c r="Q33" s="722">
        <f t="shared" si="17"/>
        <v>0</v>
      </c>
      <c r="R33" s="722">
        <f>Q33</f>
        <v>0</v>
      </c>
      <c r="S33" s="712">
        <f t="shared" si="13"/>
        <v>0</v>
      </c>
      <c r="T33" s="1157" t="s">
        <v>0</v>
      </c>
      <c r="U33" s="1158"/>
      <c r="V33" s="1156"/>
      <c r="W33" s="55"/>
      <c r="X33" s="1190"/>
      <c r="Y33" s="175"/>
      <c r="Z33" s="190"/>
      <c r="AA33" s="190"/>
      <c r="AB33" s="190"/>
      <c r="AC33" s="190"/>
      <c r="AD33" s="190"/>
      <c r="AE33" s="190"/>
      <c r="AF33" s="174"/>
      <c r="AG33" s="174"/>
      <c r="AH33" s="174"/>
      <c r="AI33" s="174"/>
      <c r="AJ33" s="174"/>
      <c r="AK33" s="174"/>
      <c r="AL33" s="174"/>
      <c r="AM33" s="174"/>
      <c r="AN33" s="174"/>
    </row>
    <row r="34" spans="2:40" ht="12.6" customHeight="1" x14ac:dyDescent="0.2">
      <c r="B34" s="839">
        <f t="shared" si="8"/>
        <v>18</v>
      </c>
      <c r="C34" s="1420" t="s">
        <v>501</v>
      </c>
      <c r="D34" s="1421"/>
      <c r="E34" s="1421"/>
      <c r="F34" s="2002"/>
      <c r="G34" s="721">
        <f>$U34/12</f>
        <v>0</v>
      </c>
      <c r="H34" s="721">
        <f>$U34/12</f>
        <v>0</v>
      </c>
      <c r="I34" s="721">
        <f t="shared" ref="I34:R34" si="18">$U34/12</f>
        <v>0</v>
      </c>
      <c r="J34" s="721">
        <f t="shared" si="18"/>
        <v>0</v>
      </c>
      <c r="K34" s="721">
        <f t="shared" si="18"/>
        <v>0</v>
      </c>
      <c r="L34" s="721">
        <f t="shared" si="18"/>
        <v>0</v>
      </c>
      <c r="M34" s="721">
        <f t="shared" si="18"/>
        <v>0</v>
      </c>
      <c r="N34" s="721">
        <f t="shared" si="18"/>
        <v>0</v>
      </c>
      <c r="O34" s="721">
        <f t="shared" si="18"/>
        <v>0</v>
      </c>
      <c r="P34" s="721">
        <f t="shared" si="18"/>
        <v>0</v>
      </c>
      <c r="Q34" s="721">
        <f t="shared" si="18"/>
        <v>0</v>
      </c>
      <c r="R34" s="721">
        <f t="shared" si="18"/>
        <v>0</v>
      </c>
      <c r="S34" s="712">
        <f t="shared" si="13"/>
        <v>0</v>
      </c>
      <c r="T34" s="1150">
        <f t="shared" si="10"/>
        <v>0</v>
      </c>
      <c r="U34" s="1162">
        <f>IF(H5=1,'5. E1 KUSTANNUKSET '!F43+'5. E1 KUSTANNUKSET '!F38+'5. E1 KUSTANNUKSET '!F42,'5. E1 KUSTANNUKSET '!H38+'5. E1 KUSTANNUKSET '!H43+'5. E1 KUSTANNUKSET '!H42)</f>
        <v>0</v>
      </c>
      <c r="V34" s="1159"/>
      <c r="W34" s="55"/>
      <c r="X34" s="1231">
        <v>0</v>
      </c>
      <c r="Y34" s="175"/>
      <c r="Z34" s="190"/>
      <c r="AA34" s="190"/>
      <c r="AB34" s="190"/>
      <c r="AC34" s="190"/>
      <c r="AD34" s="190"/>
      <c r="AE34" s="190"/>
      <c r="AF34" s="174"/>
      <c r="AG34" s="174"/>
      <c r="AH34" s="174"/>
      <c r="AI34" s="174"/>
      <c r="AJ34" s="174"/>
      <c r="AK34" s="174"/>
      <c r="AL34" s="174"/>
      <c r="AM34" s="174"/>
      <c r="AN34" s="174"/>
    </row>
    <row r="35" spans="2:40" ht="12.6" customHeight="1" x14ac:dyDescent="0.2">
      <c r="B35" s="839">
        <f t="shared" si="8"/>
        <v>19</v>
      </c>
      <c r="C35" s="1423" t="s">
        <v>518</v>
      </c>
      <c r="D35" s="1474"/>
      <c r="E35" s="1474"/>
      <c r="F35" s="2003"/>
      <c r="G35" s="721">
        <f>$U35/12</f>
        <v>0</v>
      </c>
      <c r="H35" s="721">
        <f t="shared" ref="H35:R35" si="19">$U35/12</f>
        <v>0</v>
      </c>
      <c r="I35" s="721">
        <f t="shared" si="19"/>
        <v>0</v>
      </c>
      <c r="J35" s="721">
        <f t="shared" si="19"/>
        <v>0</v>
      </c>
      <c r="K35" s="721">
        <f t="shared" si="19"/>
        <v>0</v>
      </c>
      <c r="L35" s="721">
        <f t="shared" si="19"/>
        <v>0</v>
      </c>
      <c r="M35" s="721">
        <f t="shared" si="19"/>
        <v>0</v>
      </c>
      <c r="N35" s="721">
        <f t="shared" si="19"/>
        <v>0</v>
      </c>
      <c r="O35" s="721">
        <f t="shared" si="19"/>
        <v>0</v>
      </c>
      <c r="P35" s="721">
        <f t="shared" si="19"/>
        <v>0</v>
      </c>
      <c r="Q35" s="721">
        <f t="shared" si="19"/>
        <v>0</v>
      </c>
      <c r="R35" s="721">
        <f t="shared" si="19"/>
        <v>0</v>
      </c>
      <c r="S35" s="712">
        <f t="shared" si="13"/>
        <v>0</v>
      </c>
      <c r="T35" s="1150">
        <f t="shared" si="10"/>
        <v>0</v>
      </c>
      <c r="U35" s="1162">
        <f>IF(H$5=1,'5. E1 KUSTANNUKSET '!F121,'5. E1 KUSTANNUKSET '!H121)</f>
        <v>0</v>
      </c>
      <c r="V35" s="1159"/>
      <c r="W35" s="55"/>
      <c r="X35" s="1190"/>
      <c r="Y35" s="175"/>
      <c r="Z35" s="190"/>
      <c r="AA35" s="190"/>
      <c r="AB35" s="190"/>
      <c r="AC35" s="190"/>
      <c r="AD35" s="190"/>
      <c r="AE35" s="190"/>
      <c r="AF35" s="174"/>
      <c r="AG35" s="174"/>
      <c r="AH35" s="174"/>
      <c r="AI35" s="174"/>
      <c r="AJ35" s="174"/>
      <c r="AK35" s="174"/>
      <c r="AL35" s="174"/>
      <c r="AM35" s="174"/>
      <c r="AN35" s="174"/>
    </row>
    <row r="36" spans="2:40" ht="12.6" customHeight="1" x14ac:dyDescent="0.2">
      <c r="B36" s="839">
        <f t="shared" si="8"/>
        <v>20</v>
      </c>
      <c r="C36" s="556" t="s">
        <v>519</v>
      </c>
      <c r="D36" s="1422"/>
      <c r="E36" s="1422"/>
      <c r="F36" s="2003"/>
      <c r="G36" s="721">
        <f>$U36/12</f>
        <v>0</v>
      </c>
      <c r="H36" s="721">
        <f t="shared" ref="H36:R38" si="20">$U36/12</f>
        <v>0</v>
      </c>
      <c r="I36" s="721">
        <f t="shared" si="20"/>
        <v>0</v>
      </c>
      <c r="J36" s="721">
        <f t="shared" si="20"/>
        <v>0</v>
      </c>
      <c r="K36" s="721">
        <f t="shared" si="20"/>
        <v>0</v>
      </c>
      <c r="L36" s="721">
        <f t="shared" si="20"/>
        <v>0</v>
      </c>
      <c r="M36" s="721">
        <f t="shared" si="20"/>
        <v>0</v>
      </c>
      <c r="N36" s="721">
        <f t="shared" si="20"/>
        <v>0</v>
      </c>
      <c r="O36" s="721">
        <f t="shared" si="20"/>
        <v>0</v>
      </c>
      <c r="P36" s="721">
        <f t="shared" si="20"/>
        <v>0</v>
      </c>
      <c r="Q36" s="721">
        <f t="shared" si="20"/>
        <v>0</v>
      </c>
      <c r="R36" s="721">
        <f t="shared" si="20"/>
        <v>0</v>
      </c>
      <c r="S36" s="712">
        <f t="shared" si="13"/>
        <v>0</v>
      </c>
      <c r="T36" s="1150">
        <f t="shared" si="10"/>
        <v>0</v>
      </c>
      <c r="U36" s="1162">
        <f>IF(H$5=1,'AT2 Lainat,sotum., alv-osto'!B97,'AT2 Lainat,sotum., alv-osto'!D97)</f>
        <v>0</v>
      </c>
      <c r="V36" s="1159"/>
      <c r="W36" s="55"/>
      <c r="X36" s="174"/>
      <c r="Y36" s="1191"/>
      <c r="Z36" s="190"/>
      <c r="AA36" s="190"/>
      <c r="AB36" s="190"/>
      <c r="AC36" s="190"/>
      <c r="AD36" s="190"/>
      <c r="AE36" s="190"/>
      <c r="AF36" s="174"/>
      <c r="AG36" s="174"/>
      <c r="AH36" s="174"/>
      <c r="AI36" s="174"/>
      <c r="AJ36" s="174"/>
      <c r="AK36" s="174"/>
      <c r="AL36" s="174"/>
      <c r="AM36" s="174"/>
      <c r="AN36" s="174"/>
    </row>
    <row r="37" spans="2:40" ht="12.6" customHeight="1" x14ac:dyDescent="0.2">
      <c r="B37" s="839">
        <f t="shared" si="8"/>
        <v>21</v>
      </c>
      <c r="C37" s="1944" t="s">
        <v>162</v>
      </c>
      <c r="D37" s="1945"/>
      <c r="E37" s="1946"/>
      <c r="F37" s="2003"/>
      <c r="G37" s="721">
        <f>$U37/12</f>
        <v>0</v>
      </c>
      <c r="H37" s="721">
        <f t="shared" si="20"/>
        <v>0</v>
      </c>
      <c r="I37" s="721">
        <f t="shared" si="20"/>
        <v>0</v>
      </c>
      <c r="J37" s="721">
        <f t="shared" si="20"/>
        <v>0</v>
      </c>
      <c r="K37" s="721">
        <f t="shared" si="20"/>
        <v>0</v>
      </c>
      <c r="L37" s="721">
        <f t="shared" si="20"/>
        <v>0</v>
      </c>
      <c r="M37" s="721">
        <f t="shared" si="20"/>
        <v>0</v>
      </c>
      <c r="N37" s="721">
        <f t="shared" si="20"/>
        <v>0</v>
      </c>
      <c r="O37" s="721">
        <f t="shared" si="20"/>
        <v>0</v>
      </c>
      <c r="P37" s="721">
        <f t="shared" si="20"/>
        <v>0</v>
      </c>
      <c r="Q37" s="721">
        <f t="shared" si="20"/>
        <v>0</v>
      </c>
      <c r="R37" s="721">
        <f t="shared" si="20"/>
        <v>0</v>
      </c>
      <c r="S37" s="712">
        <f t="shared" ref="S37:S43" si="21">SUM(G37:R37)</f>
        <v>0</v>
      </c>
      <c r="T37" s="1150">
        <f t="shared" si="10"/>
        <v>0</v>
      </c>
      <c r="U37" s="1162">
        <f>IF(H5=1,'4. T7 LAINAT '!H18+'4. T7 LAINAT '!H39,'4. T7 LAINAT '!K18+'4. T7 LAINAT '!K39)</f>
        <v>0</v>
      </c>
      <c r="V37" s="1159"/>
      <c r="W37" s="55"/>
      <c r="AF37" s="174"/>
      <c r="AG37" s="174"/>
      <c r="AH37" s="174"/>
      <c r="AI37" s="174"/>
      <c r="AJ37" s="174"/>
      <c r="AK37" s="174"/>
      <c r="AL37" s="174"/>
      <c r="AM37" s="174"/>
      <c r="AN37" s="174"/>
    </row>
    <row r="38" spans="2:40" ht="12.6" customHeight="1" x14ac:dyDescent="0.2">
      <c r="B38" s="839">
        <f t="shared" si="8"/>
        <v>22</v>
      </c>
      <c r="C38" s="556" t="s">
        <v>158</v>
      </c>
      <c r="D38" s="1422"/>
      <c r="E38" s="1422"/>
      <c r="F38" s="2003"/>
      <c r="G38" s="721">
        <f>$U38/12</f>
        <v>0</v>
      </c>
      <c r="H38" s="721">
        <f t="shared" si="20"/>
        <v>0</v>
      </c>
      <c r="I38" s="721">
        <f t="shared" si="20"/>
        <v>0</v>
      </c>
      <c r="J38" s="721">
        <f t="shared" si="20"/>
        <v>0</v>
      </c>
      <c r="K38" s="721">
        <f t="shared" si="20"/>
        <v>0</v>
      </c>
      <c r="L38" s="721">
        <f t="shared" si="20"/>
        <v>0</v>
      </c>
      <c r="M38" s="721">
        <f t="shared" si="20"/>
        <v>0</v>
      </c>
      <c r="N38" s="721">
        <f t="shared" si="20"/>
        <v>0</v>
      </c>
      <c r="O38" s="721">
        <f t="shared" si="20"/>
        <v>0</v>
      </c>
      <c r="P38" s="721">
        <f t="shared" si="20"/>
        <v>0</v>
      </c>
      <c r="Q38" s="721">
        <f t="shared" si="20"/>
        <v>0</v>
      </c>
      <c r="R38" s="721">
        <f t="shared" si="20"/>
        <v>0</v>
      </c>
      <c r="S38" s="712">
        <f t="shared" si="21"/>
        <v>0</v>
      </c>
      <c r="T38" s="1150">
        <f t="shared" si="10"/>
        <v>0</v>
      </c>
      <c r="U38" s="1162">
        <f>-IF(H5=1,'2. &amp; 7. T2 TULOSSUUN. '!I27,'2. &amp; 7. T2 TULOSSUUN. '!K27)</f>
        <v>0</v>
      </c>
      <c r="V38" s="1159"/>
      <c r="W38" s="55"/>
      <c r="X38" s="2013"/>
      <c r="Y38" s="2014"/>
      <c r="Z38" s="2015"/>
      <c r="AA38" s="2015"/>
      <c r="AB38" s="2015"/>
      <c r="AC38" s="2015"/>
      <c r="AD38" s="2015"/>
      <c r="AE38" s="2015"/>
      <c r="AF38" s="174"/>
      <c r="AG38" s="174"/>
      <c r="AH38" s="174"/>
      <c r="AI38" s="174"/>
      <c r="AJ38" s="174"/>
      <c r="AK38" s="174"/>
      <c r="AL38" s="174"/>
      <c r="AM38" s="174"/>
      <c r="AN38" s="174"/>
    </row>
    <row r="39" spans="2:40" ht="12.6" customHeight="1" x14ac:dyDescent="0.2">
      <c r="B39" s="839">
        <f t="shared" si="8"/>
        <v>23</v>
      </c>
      <c r="C39" s="556" t="s">
        <v>349</v>
      </c>
      <c r="D39" s="1422"/>
      <c r="E39" s="1422"/>
      <c r="F39" s="2003"/>
      <c r="G39" s="721"/>
      <c r="H39" s="721"/>
      <c r="I39" s="721"/>
      <c r="J39" s="721"/>
      <c r="K39" s="721"/>
      <c r="L39" s="721"/>
      <c r="M39" s="721"/>
      <c r="N39" s="721"/>
      <c r="O39" s="721"/>
      <c r="P39" s="721"/>
      <c r="Q39" s="721"/>
      <c r="R39" s="721"/>
      <c r="S39" s="712">
        <f>SUM(G39:R39)</f>
        <v>0</v>
      </c>
      <c r="T39" s="1151" t="s">
        <v>0</v>
      </c>
      <c r="U39" s="1154"/>
      <c r="V39" s="1159"/>
      <c r="W39" s="55"/>
      <c r="X39" s="2013"/>
      <c r="Y39" s="2014"/>
      <c r="Z39" s="2015"/>
      <c r="AA39" s="2015"/>
      <c r="AB39" s="2015"/>
      <c r="AC39" s="2015"/>
      <c r="AD39" s="2015"/>
      <c r="AE39" s="2015"/>
      <c r="AF39" s="174"/>
      <c r="AG39" s="174"/>
      <c r="AH39" s="174"/>
      <c r="AI39" s="174"/>
      <c r="AJ39" s="174"/>
      <c r="AK39" s="174"/>
      <c r="AL39" s="174"/>
      <c r="AM39" s="174"/>
      <c r="AN39" s="174"/>
    </row>
    <row r="40" spans="2:40" ht="12.6" customHeight="1" x14ac:dyDescent="0.2">
      <c r="B40" s="839">
        <f t="shared" si="8"/>
        <v>24</v>
      </c>
      <c r="C40" s="556" t="s">
        <v>523</v>
      </c>
      <c r="D40" s="1422"/>
      <c r="E40" s="1422"/>
      <c r="F40" s="2003"/>
      <c r="G40" s="721">
        <f>$U40/12</f>
        <v>0</v>
      </c>
      <c r="H40" s="721">
        <f t="shared" ref="H40:R40" si="22">$U40/12</f>
        <v>0</v>
      </c>
      <c r="I40" s="721">
        <f t="shared" si="22"/>
        <v>0</v>
      </c>
      <c r="J40" s="721">
        <f t="shared" si="22"/>
        <v>0</v>
      </c>
      <c r="K40" s="721">
        <f t="shared" si="22"/>
        <v>0</v>
      </c>
      <c r="L40" s="721">
        <f t="shared" si="22"/>
        <v>0</v>
      </c>
      <c r="M40" s="721">
        <f t="shared" si="22"/>
        <v>0</v>
      </c>
      <c r="N40" s="721">
        <f>$U40/12</f>
        <v>0</v>
      </c>
      <c r="O40" s="721">
        <f t="shared" si="22"/>
        <v>0</v>
      </c>
      <c r="P40" s="721">
        <f t="shared" si="22"/>
        <v>0</v>
      </c>
      <c r="Q40" s="721">
        <f t="shared" si="22"/>
        <v>0</v>
      </c>
      <c r="R40" s="721">
        <f t="shared" si="22"/>
        <v>0</v>
      </c>
      <c r="S40" s="712">
        <f>SUM(G40:R40)</f>
        <v>0</v>
      </c>
      <c r="T40" s="1150">
        <f t="shared" si="10"/>
        <v>0</v>
      </c>
      <c r="U40" s="1162">
        <f>IF(H5=1,'5. E1 KUSTANNUKSET '!F119,'5. E1 KUSTANNUKSET '!H119)</f>
        <v>0</v>
      </c>
      <c r="V40" s="1159"/>
      <c r="W40" s="55"/>
      <c r="X40" s="2014"/>
      <c r="Y40" s="2014"/>
      <c r="Z40" s="2015"/>
      <c r="AA40" s="2015"/>
      <c r="AB40" s="2015"/>
      <c r="AC40" s="2015"/>
      <c r="AD40" s="2015"/>
      <c r="AE40" s="2015"/>
      <c r="AF40" s="174"/>
      <c r="AG40" s="174"/>
      <c r="AH40" s="174"/>
      <c r="AI40" s="174"/>
      <c r="AJ40" s="174"/>
      <c r="AK40" s="174"/>
      <c r="AL40" s="174"/>
      <c r="AM40" s="174"/>
      <c r="AN40" s="174"/>
    </row>
    <row r="41" spans="2:40" ht="12.6" customHeight="1" x14ac:dyDescent="0.2">
      <c r="B41" s="839">
        <f t="shared" si="8"/>
        <v>25</v>
      </c>
      <c r="C41" s="1418" t="s">
        <v>644</v>
      </c>
      <c r="D41" s="1419"/>
      <c r="E41" s="1419"/>
      <c r="F41" s="2003"/>
      <c r="G41" s="721"/>
      <c r="H41" s="721"/>
      <c r="I41" s="721"/>
      <c r="J41" s="721"/>
      <c r="K41" s="721"/>
      <c r="L41" s="721"/>
      <c r="M41" s="721"/>
      <c r="N41" s="721"/>
      <c r="O41" s="721"/>
      <c r="P41" s="721"/>
      <c r="Q41" s="721">
        <v>0</v>
      </c>
      <c r="R41" s="721"/>
      <c r="S41" s="712">
        <f t="shared" si="21"/>
        <v>0</v>
      </c>
      <c r="T41" s="1153" t="s">
        <v>0</v>
      </c>
      <c r="U41" s="1159"/>
      <c r="V41" s="1159"/>
      <c r="W41" s="55"/>
      <c r="X41" s="2014"/>
      <c r="Y41" s="2014"/>
      <c r="Z41" s="2015"/>
      <c r="AA41" s="2015"/>
      <c r="AB41" s="2015"/>
      <c r="AC41" s="2015"/>
      <c r="AD41" s="2015"/>
      <c r="AE41" s="2015"/>
      <c r="AF41" s="174"/>
      <c r="AG41" s="174"/>
      <c r="AH41" s="174"/>
      <c r="AI41" s="174"/>
      <c r="AJ41" s="174"/>
      <c r="AK41" s="174"/>
      <c r="AL41" s="174"/>
      <c r="AM41" s="174"/>
      <c r="AN41" s="174"/>
    </row>
    <row r="42" spans="2:40" ht="12.6" customHeight="1" thickBot="1" x14ac:dyDescent="0.25">
      <c r="B42" s="839">
        <f t="shared" si="8"/>
        <v>26</v>
      </c>
      <c r="C42" s="1470" t="s">
        <v>326</v>
      </c>
      <c r="D42" s="1471"/>
      <c r="E42" s="1471"/>
      <c r="F42" s="2004"/>
      <c r="G42" s="721">
        <v>0</v>
      </c>
      <c r="H42" s="721"/>
      <c r="I42" s="721"/>
      <c r="J42" s="721"/>
      <c r="K42" s="721"/>
      <c r="L42" s="721"/>
      <c r="M42" s="721"/>
      <c r="N42" s="721"/>
      <c r="O42" s="721"/>
      <c r="P42" s="721"/>
      <c r="Q42" s="721"/>
      <c r="R42" s="721"/>
      <c r="S42" s="723">
        <f t="shared" si="21"/>
        <v>0</v>
      </c>
      <c r="T42" s="1155" t="s">
        <v>0</v>
      </c>
      <c r="U42" s="1164"/>
      <c r="V42" s="1164"/>
      <c r="W42" s="55"/>
      <c r="X42" s="174"/>
      <c r="Y42" s="174"/>
      <c r="Z42" s="1192"/>
      <c r="AA42" s="1192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</row>
    <row r="43" spans="2:40" ht="14.25" thickTop="1" thickBot="1" x14ac:dyDescent="0.25">
      <c r="B43" s="825"/>
      <c r="C43" s="1472" t="s">
        <v>688</v>
      </c>
      <c r="D43" s="1473"/>
      <c r="E43" s="1473"/>
      <c r="F43" s="1481"/>
      <c r="G43" s="826">
        <f>SUM(G22:G42)</f>
        <v>0</v>
      </c>
      <c r="H43" s="826">
        <f t="shared" ref="H43:R43" si="23">SUM(H22:H42)</f>
        <v>0</v>
      </c>
      <c r="I43" s="826">
        <f t="shared" si="23"/>
        <v>0</v>
      </c>
      <c r="J43" s="826">
        <f t="shared" si="23"/>
        <v>0</v>
      </c>
      <c r="K43" s="826">
        <f t="shared" si="23"/>
        <v>0</v>
      </c>
      <c r="L43" s="826">
        <f t="shared" si="23"/>
        <v>0</v>
      </c>
      <c r="M43" s="826">
        <f t="shared" si="23"/>
        <v>0</v>
      </c>
      <c r="N43" s="826">
        <f t="shared" si="23"/>
        <v>0</v>
      </c>
      <c r="O43" s="826">
        <f t="shared" si="23"/>
        <v>0</v>
      </c>
      <c r="P43" s="826">
        <f t="shared" si="23"/>
        <v>0</v>
      </c>
      <c r="Q43" s="826">
        <f t="shared" si="23"/>
        <v>0</v>
      </c>
      <c r="R43" s="826">
        <f t="shared" si="23"/>
        <v>0</v>
      </c>
      <c r="S43" s="826">
        <f t="shared" si="21"/>
        <v>0</v>
      </c>
      <c r="T43" s="254"/>
      <c r="U43" s="1973" t="s">
        <v>685</v>
      </c>
      <c r="V43" s="1232"/>
      <c r="W43" s="55"/>
    </row>
    <row r="44" spans="2:40" ht="4.1500000000000004" customHeight="1" thickTop="1" x14ac:dyDescent="0.2">
      <c r="B44" s="1354"/>
      <c r="C44" s="1355"/>
      <c r="D44" s="590"/>
      <c r="E44" s="590"/>
      <c r="F44" s="1356"/>
      <c r="G44" s="1357"/>
      <c r="H44" s="1357"/>
      <c r="I44" s="1357"/>
      <c r="J44" s="1357"/>
      <c r="K44" s="1357"/>
      <c r="L44" s="1357"/>
      <c r="M44" s="1357"/>
      <c r="N44" s="1357"/>
      <c r="O44" s="1357"/>
      <c r="P44" s="1357"/>
      <c r="Q44" s="1357"/>
      <c r="R44" s="1357"/>
      <c r="S44" s="1159"/>
      <c r="T44" s="254"/>
      <c r="U44" s="1974"/>
      <c r="V44" s="1232"/>
      <c r="W44" s="55"/>
    </row>
    <row r="45" spans="2:40" ht="14.1" customHeight="1" x14ac:dyDescent="0.2">
      <c r="B45" s="2008" t="s">
        <v>692</v>
      </c>
      <c r="C45" s="2009"/>
      <c r="D45" s="2009"/>
      <c r="E45" s="2009"/>
      <c r="F45" s="2010"/>
      <c r="G45" s="1358">
        <f>G21</f>
        <v>45292</v>
      </c>
      <c r="H45" s="1358">
        <f>H21</f>
        <v>45323</v>
      </c>
      <c r="I45" s="1358">
        <f t="shared" ref="I45:R45" si="24">I21</f>
        <v>45354</v>
      </c>
      <c r="J45" s="1358">
        <f t="shared" si="24"/>
        <v>45385</v>
      </c>
      <c r="K45" s="1358">
        <f t="shared" si="24"/>
        <v>45416</v>
      </c>
      <c r="L45" s="1358">
        <f t="shared" si="24"/>
        <v>45447</v>
      </c>
      <c r="M45" s="1358">
        <f t="shared" si="24"/>
        <v>45478</v>
      </c>
      <c r="N45" s="1358">
        <f t="shared" si="24"/>
        <v>45509</v>
      </c>
      <c r="O45" s="1358">
        <f t="shared" si="24"/>
        <v>45540</v>
      </c>
      <c r="P45" s="1358">
        <f t="shared" si="24"/>
        <v>45571</v>
      </c>
      <c r="Q45" s="1358">
        <f t="shared" si="24"/>
        <v>45602</v>
      </c>
      <c r="R45" s="1358">
        <f t="shared" si="24"/>
        <v>45633</v>
      </c>
      <c r="S45" s="1359" t="str">
        <f>S21</f>
        <v>YHT</v>
      </c>
      <c r="T45" s="1343" t="s">
        <v>653</v>
      </c>
      <c r="U45" s="1975"/>
      <c r="V45" s="1232"/>
      <c r="W45" s="55"/>
    </row>
    <row r="46" spans="2:40" ht="12.6" customHeight="1" x14ac:dyDescent="0.2">
      <c r="B46" s="840">
        <v>27</v>
      </c>
      <c r="C46" s="1475" t="s">
        <v>522</v>
      </c>
      <c r="D46" s="1476"/>
      <c r="E46" s="1476"/>
      <c r="F46" s="2022"/>
      <c r="G46" s="724">
        <f>$U46/12</f>
        <v>0</v>
      </c>
      <c r="H46" s="724">
        <f t="shared" ref="H46:R46" si="25">$U46/12</f>
        <v>0</v>
      </c>
      <c r="I46" s="724">
        <f t="shared" si="25"/>
        <v>0</v>
      </c>
      <c r="J46" s="724">
        <f t="shared" si="25"/>
        <v>0</v>
      </c>
      <c r="K46" s="724">
        <f t="shared" si="25"/>
        <v>0</v>
      </c>
      <c r="L46" s="724">
        <f t="shared" si="25"/>
        <v>0</v>
      </c>
      <c r="M46" s="724">
        <f t="shared" si="25"/>
        <v>0</v>
      </c>
      <c r="N46" s="724">
        <f t="shared" si="25"/>
        <v>0</v>
      </c>
      <c r="O46" s="724">
        <f t="shared" si="25"/>
        <v>0</v>
      </c>
      <c r="P46" s="724">
        <f t="shared" si="25"/>
        <v>0</v>
      </c>
      <c r="Q46" s="724">
        <f t="shared" si="25"/>
        <v>0</v>
      </c>
      <c r="R46" s="724">
        <f t="shared" si="25"/>
        <v>0</v>
      </c>
      <c r="S46" s="725">
        <f t="shared" ref="S46:S51" si="26">SUM(G46:R46)</f>
        <v>0</v>
      </c>
      <c r="T46" s="1160">
        <f t="shared" ref="T46:T51" si="27">U46-S46</f>
        <v>0</v>
      </c>
      <c r="U46" s="1162">
        <f>IF(H5=1,'4. T7 LAINAT '!F19+'4. T7 LAINAT '!H19+'4. T7 LAINAT '!G45+'4. T7 LAINAT '!H45,'4. T7 LAINAT '!I19+'4. T7 LAINAT '!K19+'4. T7 LAINAT '!J45+'4. T7 LAINAT '!K45)</f>
        <v>0</v>
      </c>
      <c r="V46" s="1159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</row>
    <row r="47" spans="2:40" ht="12.6" customHeight="1" x14ac:dyDescent="0.2">
      <c r="B47" s="840">
        <f>B46+1</f>
        <v>28</v>
      </c>
      <c r="C47" s="556" t="s">
        <v>333</v>
      </c>
      <c r="D47" s="1422"/>
      <c r="E47" s="1422"/>
      <c r="F47" s="2022"/>
      <c r="G47" s="724">
        <f>U47</f>
        <v>0</v>
      </c>
      <c r="H47" s="724"/>
      <c r="I47" s="724"/>
      <c r="J47" s="724">
        <v>0</v>
      </c>
      <c r="K47" s="724">
        <v>0</v>
      </c>
      <c r="L47" s="724"/>
      <c r="M47" s="724"/>
      <c r="N47" s="724"/>
      <c r="O47" s="724"/>
      <c r="P47" s="724">
        <v>0</v>
      </c>
      <c r="Q47" s="724"/>
      <c r="R47" s="724">
        <v>0</v>
      </c>
      <c r="S47" s="725">
        <f t="shared" si="26"/>
        <v>0</v>
      </c>
      <c r="T47" s="1160">
        <f t="shared" si="27"/>
        <v>0</v>
      </c>
      <c r="U47" s="1162">
        <f>IF(H5=1,'4. T7 LAINAT '!F39+'4. T7 LAINAT '!F45,'4. T7 LAINAT '!I39+'4. T7 LAINAT '!I45)</f>
        <v>0</v>
      </c>
      <c r="V47" s="1159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</row>
    <row r="48" spans="2:40" ht="12.6" customHeight="1" x14ac:dyDescent="0.2">
      <c r="B48" s="840">
        <f>B47+1</f>
        <v>29</v>
      </c>
      <c r="C48" s="556" t="s">
        <v>357</v>
      </c>
      <c r="D48" s="1422"/>
      <c r="E48" s="1422"/>
      <c r="F48" s="2022"/>
      <c r="G48" s="721"/>
      <c r="H48" s="721"/>
      <c r="I48" s="721"/>
      <c r="J48" s="721"/>
      <c r="K48" s="721"/>
      <c r="L48" s="721">
        <f>$U48/2</f>
        <v>0</v>
      </c>
      <c r="M48" s="721">
        <v>0</v>
      </c>
      <c r="N48" s="721"/>
      <c r="O48" s="721"/>
      <c r="P48" s="721"/>
      <c r="Q48" s="721"/>
      <c r="R48" s="721">
        <f>$U48/2</f>
        <v>0</v>
      </c>
      <c r="S48" s="712">
        <f t="shared" si="26"/>
        <v>0</v>
      </c>
      <c r="T48" s="1160">
        <f t="shared" si="27"/>
        <v>0</v>
      </c>
      <c r="U48" s="1162">
        <f>IF(H5=1,'4. T7 LAINAT '!F18+'4. T7 LAINAT '!G39,'4. T7 LAINAT '!I18+'4. T7 LAINAT '!J39)</f>
        <v>0</v>
      </c>
      <c r="V48" s="1159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</row>
    <row r="49" spans="1:22" ht="12.6" customHeight="1" x14ac:dyDescent="0.2">
      <c r="B49" s="840">
        <f>B48+1</f>
        <v>30</v>
      </c>
      <c r="C49" s="556" t="s">
        <v>159</v>
      </c>
      <c r="D49" s="1422"/>
      <c r="E49" s="1422"/>
      <c r="F49" s="2022"/>
      <c r="G49" s="721"/>
      <c r="H49" s="721"/>
      <c r="I49" s="721"/>
      <c r="J49" s="721"/>
      <c r="K49" s="721"/>
      <c r="L49" s="721"/>
      <c r="M49" s="721"/>
      <c r="N49" s="721"/>
      <c r="O49" s="721"/>
      <c r="P49" s="721"/>
      <c r="Q49" s="721"/>
      <c r="R49" s="721"/>
      <c r="S49" s="712">
        <f t="shared" si="26"/>
        <v>0</v>
      </c>
      <c r="T49" s="1161" t="s">
        <v>0</v>
      </c>
      <c r="U49" s="1154"/>
      <c r="V49" s="1159"/>
    </row>
    <row r="50" spans="1:22" ht="12.6" customHeight="1" x14ac:dyDescent="0.2">
      <c r="B50" s="840">
        <f>B49+1</f>
        <v>31</v>
      </c>
      <c r="C50" s="556" t="s">
        <v>163</v>
      </c>
      <c r="D50" s="1422"/>
      <c r="E50" s="1422"/>
      <c r="F50" s="2022"/>
      <c r="G50" s="721">
        <f>U50</f>
        <v>0</v>
      </c>
      <c r="H50" s="721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12">
        <f t="shared" si="26"/>
        <v>0</v>
      </c>
      <c r="T50" s="1160">
        <f t="shared" si="27"/>
        <v>0</v>
      </c>
      <c r="U50" s="1162">
        <f>IF(H5=1,'1. T1 INVESTOINTISUUN.'!D46+'1. T1 INVESTOINTISUUN.'!D47,'1. T1 INVESTOINTISUUN.'!E46+'1. T1 INVESTOINTISUUN.'!E47)</f>
        <v>0</v>
      </c>
      <c r="V50" s="1159"/>
    </row>
    <row r="51" spans="1:22" ht="12.6" customHeight="1" thickBot="1" x14ac:dyDescent="0.25">
      <c r="B51" s="840">
        <f>B50+1</f>
        <v>32</v>
      </c>
      <c r="C51" s="1477" t="s">
        <v>164</v>
      </c>
      <c r="D51" s="1478"/>
      <c r="E51" s="1478"/>
      <c r="F51" s="2023"/>
      <c r="G51" s="721">
        <f>U51</f>
        <v>0</v>
      </c>
      <c r="H51" s="721"/>
      <c r="I51" s="721"/>
      <c r="J51" s="721"/>
      <c r="K51" s="721"/>
      <c r="L51" s="721">
        <v>0</v>
      </c>
      <c r="M51" s="721"/>
      <c r="N51" s="721"/>
      <c r="O51" s="721"/>
      <c r="P51" s="721"/>
      <c r="Q51" s="721"/>
      <c r="R51" s="721"/>
      <c r="S51" s="712">
        <f t="shared" si="26"/>
        <v>0</v>
      </c>
      <c r="T51" s="1160">
        <f t="shared" si="27"/>
        <v>0</v>
      </c>
      <c r="U51" s="1162">
        <f>IF(H5=1,'1. T1 INVESTOINTISUUN.'!D49,'1. T1 INVESTOINTISUUN.'!E49)</f>
        <v>0</v>
      </c>
      <c r="V51" s="1159"/>
    </row>
    <row r="52" spans="1:22" ht="14.25" thickTop="1" thickBot="1" x14ac:dyDescent="0.25">
      <c r="B52" s="827"/>
      <c r="C52" s="2024" t="s">
        <v>687</v>
      </c>
      <c r="D52" s="2025"/>
      <c r="E52" s="2025"/>
      <c r="F52" s="2026"/>
      <c r="G52" s="828">
        <f>-G46+G47-G48-G49+U50+U51</f>
        <v>0</v>
      </c>
      <c r="H52" s="828">
        <f t="shared" ref="H52:R52" si="28">-H46+H47-H48-H49+H50+H51</f>
        <v>0</v>
      </c>
      <c r="I52" s="828">
        <f t="shared" si="28"/>
        <v>0</v>
      </c>
      <c r="J52" s="828">
        <f t="shared" si="28"/>
        <v>0</v>
      </c>
      <c r="K52" s="828">
        <f t="shared" si="28"/>
        <v>0</v>
      </c>
      <c r="L52" s="828">
        <f t="shared" si="28"/>
        <v>0</v>
      </c>
      <c r="M52" s="828">
        <f t="shared" si="28"/>
        <v>0</v>
      </c>
      <c r="N52" s="828">
        <f t="shared" si="28"/>
        <v>0</v>
      </c>
      <c r="O52" s="828">
        <f t="shared" si="28"/>
        <v>0</v>
      </c>
      <c r="P52" s="828">
        <f t="shared" si="28"/>
        <v>0</v>
      </c>
      <c r="Q52" s="828">
        <f t="shared" si="28"/>
        <v>0</v>
      </c>
      <c r="R52" s="828">
        <f t="shared" si="28"/>
        <v>0</v>
      </c>
      <c r="S52" s="829">
        <f>-S46+S47-S48-S49+S50+S51</f>
        <v>0</v>
      </c>
      <c r="U52" s="265"/>
      <c r="V52" s="265"/>
    </row>
    <row r="53" spans="1:22" ht="4.1500000000000004" customHeight="1" thickTop="1" x14ac:dyDescent="0.2">
      <c r="B53" s="837"/>
      <c r="C53" s="361"/>
      <c r="D53" s="361"/>
      <c r="E53" s="361"/>
      <c r="F53" s="362"/>
      <c r="G53" s="719"/>
      <c r="H53" s="719"/>
      <c r="I53" s="719"/>
      <c r="J53" s="719"/>
      <c r="K53" s="719"/>
      <c r="L53" s="719"/>
      <c r="M53" s="719"/>
      <c r="N53" s="719"/>
      <c r="O53" s="719"/>
      <c r="P53" s="719"/>
      <c r="Q53" s="719"/>
      <c r="R53" s="719"/>
      <c r="S53" s="726"/>
      <c r="U53" s="265"/>
      <c r="V53" s="265"/>
    </row>
    <row r="54" spans="1:22" x14ac:dyDescent="0.2">
      <c r="B54" s="363">
        <v>33</v>
      </c>
      <c r="C54" s="2016" t="s">
        <v>160</v>
      </c>
      <c r="D54" s="2017"/>
      <c r="E54" s="2017"/>
      <c r="F54" s="2018"/>
      <c r="G54" s="727">
        <f>G19-G43+G52</f>
        <v>0</v>
      </c>
      <c r="H54" s="727">
        <f>H19-H43+H52</f>
        <v>0</v>
      </c>
      <c r="I54" s="727">
        <f t="shared" ref="I54:R54" si="29">I19-I43+I52</f>
        <v>0</v>
      </c>
      <c r="J54" s="727">
        <f t="shared" si="29"/>
        <v>0</v>
      </c>
      <c r="K54" s="727">
        <f t="shared" si="29"/>
        <v>0</v>
      </c>
      <c r="L54" s="727">
        <f t="shared" si="29"/>
        <v>0</v>
      </c>
      <c r="M54" s="727">
        <f t="shared" si="29"/>
        <v>0</v>
      </c>
      <c r="N54" s="727">
        <f t="shared" si="29"/>
        <v>0</v>
      </c>
      <c r="O54" s="727">
        <f t="shared" si="29"/>
        <v>0</v>
      </c>
      <c r="P54" s="727">
        <f t="shared" si="29"/>
        <v>0</v>
      </c>
      <c r="Q54" s="727">
        <f t="shared" si="29"/>
        <v>0</v>
      </c>
      <c r="R54" s="727">
        <f t="shared" si="29"/>
        <v>0</v>
      </c>
      <c r="S54" s="727">
        <f>SUM(G54:R54)</f>
        <v>0</v>
      </c>
      <c r="U54" s="265"/>
      <c r="V54" s="265"/>
    </row>
    <row r="55" spans="1:22" x14ac:dyDescent="0.2">
      <c r="B55" s="364">
        <v>34</v>
      </c>
      <c r="C55" s="2019" t="s">
        <v>442</v>
      </c>
      <c r="D55" s="2020"/>
      <c r="E55" s="2020"/>
      <c r="F55" s="2021"/>
      <c r="G55" s="727">
        <f>G10+G54+G11</f>
        <v>0</v>
      </c>
      <c r="H55" s="727">
        <f t="shared" ref="H55:Q55" si="30">H10+H54+H11</f>
        <v>0</v>
      </c>
      <c r="I55" s="727">
        <f t="shared" si="30"/>
        <v>0</v>
      </c>
      <c r="J55" s="727">
        <f t="shared" si="30"/>
        <v>0</v>
      </c>
      <c r="K55" s="727">
        <f t="shared" si="30"/>
        <v>0</v>
      </c>
      <c r="L55" s="727">
        <f>L10+L54+L11</f>
        <v>0</v>
      </c>
      <c r="M55" s="727">
        <f t="shared" si="30"/>
        <v>0</v>
      </c>
      <c r="N55" s="727">
        <f t="shared" si="30"/>
        <v>0</v>
      </c>
      <c r="O55" s="727">
        <f t="shared" si="30"/>
        <v>0</v>
      </c>
      <c r="P55" s="727">
        <f t="shared" si="30"/>
        <v>0</v>
      </c>
      <c r="Q55" s="727">
        <f t="shared" si="30"/>
        <v>0</v>
      </c>
      <c r="R55" s="1173">
        <f>R10+R54+R11</f>
        <v>0</v>
      </c>
      <c r="S55" s="848"/>
    </row>
    <row r="56" spans="1:22" ht="4.1500000000000004" customHeight="1" x14ac:dyDescent="0.2">
      <c r="B56" s="841"/>
      <c r="C56" s="159"/>
      <c r="D56" s="54"/>
      <c r="E56" s="54"/>
      <c r="F56" s="92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160"/>
      <c r="R56" s="159"/>
      <c r="S56" s="110">
        <v>0</v>
      </c>
    </row>
    <row r="57" spans="1:22" x14ac:dyDescent="0.2">
      <c r="A57" s="134"/>
      <c r="B57" s="425">
        <f>'2. &amp; 7. T2 TULOSSUUN. '!B35</f>
        <v>0</v>
      </c>
      <c r="C57" s="425"/>
      <c r="D57" s="425"/>
      <c r="E57" s="425"/>
      <c r="F57" s="550"/>
      <c r="G57" s="134"/>
      <c r="H57" s="134"/>
      <c r="I57" s="134"/>
      <c r="J57" s="134"/>
      <c r="K57" s="134"/>
      <c r="L57" s="134"/>
      <c r="M57" s="134"/>
      <c r="N57" s="134"/>
      <c r="O57" s="1789" t="str">
        <f>OHJE!I5</f>
        <v>Palvelun tarjoaa</v>
      </c>
      <c r="P57" s="1789"/>
      <c r="Q57" s="1789"/>
      <c r="R57" s="1789"/>
      <c r="S57" s="1789"/>
    </row>
    <row r="58" spans="1:22" x14ac:dyDescent="0.2">
      <c r="A58" s="134"/>
      <c r="B58" s="425" t="str">
        <f>OHJE!G24</f>
        <v>YT22 Toimivan yrityksen tulossuunnitelma</v>
      </c>
      <c r="C58" s="425"/>
      <c r="D58" s="425"/>
      <c r="E58" s="425"/>
      <c r="F58" s="550"/>
      <c r="G58" s="134"/>
      <c r="H58" s="134"/>
      <c r="I58" s="134"/>
      <c r="J58" s="134"/>
      <c r="K58" s="134"/>
      <c r="L58" s="134"/>
      <c r="M58" s="1877" t="str">
        <f>OHJE!H7</f>
        <v>Business Kuopio</v>
      </c>
      <c r="N58" s="1996"/>
      <c r="O58" s="1996"/>
      <c r="P58" s="1996"/>
      <c r="Q58" s="1996"/>
      <c r="R58" s="1996"/>
      <c r="S58" s="1996"/>
    </row>
    <row r="59" spans="1:22" x14ac:dyDescent="0.2">
      <c r="A59" s="134"/>
      <c r="B59" s="425"/>
      <c r="C59" s="425"/>
      <c r="D59" s="425"/>
      <c r="E59" s="425"/>
      <c r="F59" s="550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</row>
    <row r="60" spans="1:22" ht="15.75" x14ac:dyDescent="0.25">
      <c r="A60" s="134"/>
      <c r="B60" s="134"/>
      <c r="C60" s="134"/>
      <c r="D60" s="1995" t="s">
        <v>180</v>
      </c>
      <c r="E60" s="1995"/>
      <c r="F60" s="1995"/>
      <c r="G60" s="134"/>
      <c r="H60" s="134"/>
      <c r="I60" s="842" t="str">
        <f>E5</f>
        <v xml:space="preserve">ENNUSTEVUOSI </v>
      </c>
      <c r="J60" s="843">
        <f>H5</f>
        <v>1</v>
      </c>
      <c r="K60" s="134"/>
      <c r="L60" s="134"/>
      <c r="M60" s="134"/>
      <c r="N60" s="844" t="str">
        <f>O5</f>
        <v>1/202X - 12/202Y</v>
      </c>
      <c r="O60" s="134"/>
      <c r="P60" s="134"/>
      <c r="Q60" s="134"/>
      <c r="R60" s="134"/>
      <c r="S60" s="134"/>
    </row>
    <row r="61" spans="1:22" ht="5.25" customHeight="1" x14ac:dyDescent="0.25">
      <c r="A61" s="134"/>
      <c r="B61" s="134"/>
      <c r="C61" s="134"/>
      <c r="D61" s="845"/>
      <c r="E61" s="845"/>
      <c r="F61" s="1482"/>
      <c r="G61" s="134"/>
      <c r="H61" s="844"/>
      <c r="I61" s="134"/>
      <c r="J61" s="134"/>
      <c r="K61" s="134"/>
      <c r="L61" s="134"/>
      <c r="M61" s="134"/>
      <c r="N61" s="844"/>
      <c r="O61" s="134"/>
      <c r="P61" s="134"/>
      <c r="Q61" s="134"/>
      <c r="R61" s="134"/>
      <c r="S61" s="134"/>
    </row>
    <row r="62" spans="1:22" x14ac:dyDescent="0.2">
      <c r="A62" s="134"/>
      <c r="B62" s="134"/>
      <c r="C62" s="134"/>
      <c r="D62" s="551" t="str">
        <f>B6</f>
        <v xml:space="preserve"> Yrityksen nimi</v>
      </c>
      <c r="E62" s="134"/>
      <c r="F62" s="140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</row>
    <row r="63" spans="1:22" ht="12.75" customHeight="1" x14ac:dyDescent="0.25">
      <c r="D63" s="170" t="str">
        <f>B7</f>
        <v xml:space="preserve"> </v>
      </c>
      <c r="E63" s="171"/>
      <c r="F63" s="172"/>
      <c r="G63" s="169"/>
      <c r="J63" s="25"/>
      <c r="K63" s="25"/>
      <c r="L63" s="25"/>
      <c r="M63" s="25"/>
      <c r="O63" s="25"/>
      <c r="P63" s="25"/>
      <c r="Q63" s="169"/>
    </row>
    <row r="64" spans="1:22" ht="4.5" customHeight="1" x14ac:dyDescent="0.2"/>
    <row r="69" spans="1:18" x14ac:dyDescent="0.2">
      <c r="A69" s="134"/>
    </row>
    <row r="79" spans="1:18" x14ac:dyDescent="0.2">
      <c r="R79" s="42"/>
    </row>
    <row r="93" spans="3:19" ht="13.5" thickBot="1" x14ac:dyDescent="0.25"/>
    <row r="94" spans="3:19" ht="13.5" thickBot="1" x14ac:dyDescent="0.25">
      <c r="C94" s="1658"/>
      <c r="D94" s="1999"/>
      <c r="E94" s="1999"/>
      <c r="F94" s="1468"/>
      <c r="G94" s="1424">
        <f>G9</f>
        <v>45292</v>
      </c>
      <c r="H94" s="383">
        <f t="shared" ref="H94:R94" si="31">H9</f>
        <v>45323</v>
      </c>
      <c r="I94" s="383">
        <f t="shared" si="31"/>
        <v>45354</v>
      </c>
      <c r="J94" s="383">
        <f t="shared" si="31"/>
        <v>45385</v>
      </c>
      <c r="K94" s="383">
        <f t="shared" si="31"/>
        <v>45416</v>
      </c>
      <c r="L94" s="383">
        <f t="shared" si="31"/>
        <v>45447</v>
      </c>
      <c r="M94" s="383">
        <f t="shared" si="31"/>
        <v>45478</v>
      </c>
      <c r="N94" s="383">
        <f t="shared" si="31"/>
        <v>45509</v>
      </c>
      <c r="O94" s="383">
        <f t="shared" si="31"/>
        <v>45540</v>
      </c>
      <c r="P94" s="383">
        <f t="shared" si="31"/>
        <v>45571</v>
      </c>
      <c r="Q94" s="383">
        <f t="shared" si="31"/>
        <v>45602</v>
      </c>
      <c r="R94" s="383">
        <f t="shared" si="31"/>
        <v>45633</v>
      </c>
      <c r="S94" s="108" t="s">
        <v>148</v>
      </c>
    </row>
    <row r="95" spans="3:19" ht="15.95" customHeight="1" x14ac:dyDescent="0.2">
      <c r="C95" s="555"/>
      <c r="D95" s="2000" t="s">
        <v>452</v>
      </c>
      <c r="E95" s="2000"/>
      <c r="F95" s="2001"/>
      <c r="G95" s="727">
        <f>G54</f>
        <v>0</v>
      </c>
      <c r="H95" s="727">
        <f t="shared" ref="H95:R96" si="32">H54</f>
        <v>0</v>
      </c>
      <c r="I95" s="727">
        <f t="shared" si="32"/>
        <v>0</v>
      </c>
      <c r="J95" s="727">
        <f t="shared" si="32"/>
        <v>0</v>
      </c>
      <c r="K95" s="727">
        <f t="shared" si="32"/>
        <v>0</v>
      </c>
      <c r="L95" s="727">
        <f t="shared" si="32"/>
        <v>0</v>
      </c>
      <c r="M95" s="727">
        <f t="shared" si="32"/>
        <v>0</v>
      </c>
      <c r="N95" s="727">
        <f t="shared" si="32"/>
        <v>0</v>
      </c>
      <c r="O95" s="727">
        <f t="shared" si="32"/>
        <v>0</v>
      </c>
      <c r="P95" s="727">
        <f t="shared" si="32"/>
        <v>0</v>
      </c>
      <c r="Q95" s="727">
        <f t="shared" si="32"/>
        <v>0</v>
      </c>
      <c r="R95" s="727">
        <f t="shared" si="32"/>
        <v>0</v>
      </c>
      <c r="S95" s="846">
        <f>SUM(G95:R95)</f>
        <v>0</v>
      </c>
    </row>
    <row r="96" spans="3:19" ht="15.95" customHeight="1" x14ac:dyDescent="0.2">
      <c r="C96" s="555"/>
      <c r="D96" s="2011" t="s">
        <v>453</v>
      </c>
      <c r="E96" s="2011"/>
      <c r="F96" s="2012"/>
      <c r="G96" s="727">
        <f>G55</f>
        <v>0</v>
      </c>
      <c r="H96" s="727">
        <f t="shared" si="32"/>
        <v>0</v>
      </c>
      <c r="I96" s="727">
        <f t="shared" si="32"/>
        <v>0</v>
      </c>
      <c r="J96" s="727">
        <f t="shared" si="32"/>
        <v>0</v>
      </c>
      <c r="K96" s="727">
        <f t="shared" si="32"/>
        <v>0</v>
      </c>
      <c r="L96" s="727">
        <f t="shared" si="32"/>
        <v>0</v>
      </c>
      <c r="M96" s="727">
        <f t="shared" si="32"/>
        <v>0</v>
      </c>
      <c r="N96" s="727">
        <f t="shared" si="32"/>
        <v>0</v>
      </c>
      <c r="O96" s="727">
        <f t="shared" si="32"/>
        <v>0</v>
      </c>
      <c r="P96" s="727">
        <f t="shared" si="32"/>
        <v>0</v>
      </c>
      <c r="Q96" s="727">
        <f t="shared" si="32"/>
        <v>0</v>
      </c>
      <c r="R96" s="727">
        <f t="shared" si="32"/>
        <v>0</v>
      </c>
      <c r="S96" s="847"/>
    </row>
    <row r="97" spans="3:19" x14ac:dyDescent="0.2">
      <c r="C97" s="146"/>
      <c r="D97" s="146"/>
      <c r="E97" s="146"/>
      <c r="F97" s="148"/>
      <c r="G97" s="268"/>
      <c r="H97" s="268"/>
      <c r="I97" s="268"/>
      <c r="J97" s="268"/>
      <c r="K97" s="268"/>
      <c r="L97" s="268"/>
      <c r="M97" s="268"/>
      <c r="N97" s="268"/>
      <c r="O97" s="268"/>
      <c r="P97" s="268"/>
      <c r="Q97" s="268"/>
      <c r="R97" s="268"/>
      <c r="S97" s="384"/>
    </row>
    <row r="98" spans="3:19" x14ac:dyDescent="0.2">
      <c r="C98" s="159"/>
      <c r="D98" s="159">
        <f>'1. T1 INVESTOINTISUUN.'!B64</f>
        <v>0</v>
      </c>
      <c r="E98" s="161"/>
      <c r="F98" s="162"/>
      <c r="G98" s="57"/>
      <c r="H98" s="57"/>
      <c r="I98" s="57"/>
      <c r="J98" s="112"/>
      <c r="K98" s="57"/>
      <c r="L98" s="57"/>
      <c r="M98" s="57"/>
      <c r="N98" s="57"/>
      <c r="O98" s="57"/>
      <c r="P98" s="57"/>
      <c r="Q98" s="1997" t="str">
        <f>OHJE!I5</f>
        <v>Palvelun tarjoaa</v>
      </c>
      <c r="R98" s="1998"/>
      <c r="S98" s="1998"/>
    </row>
    <row r="99" spans="3:19" x14ac:dyDescent="0.2">
      <c r="C99" s="20"/>
      <c r="D99" s="159" t="str">
        <f>'1. T1 INVESTOINTISUUN.'!B65</f>
        <v>YT22 Toimivan yrityksen tulossuunnitelma</v>
      </c>
      <c r="E99" s="111"/>
      <c r="F99" s="132"/>
      <c r="G99" s="109"/>
      <c r="H99" s="109"/>
      <c r="I99" s="109"/>
      <c r="J99" s="113"/>
      <c r="K99" s="109"/>
      <c r="L99" s="109"/>
      <c r="M99" s="1982" t="str">
        <f>M58</f>
        <v>Business Kuopio</v>
      </c>
      <c r="N99" s="1982"/>
      <c r="O99" s="1982"/>
      <c r="P99" s="1982"/>
      <c r="Q99" s="1982"/>
      <c r="R99" s="1982"/>
      <c r="S99" s="1982"/>
    </row>
    <row r="102" spans="3:19" x14ac:dyDescent="0.2">
      <c r="D102" s="424" t="s">
        <v>336</v>
      </c>
    </row>
    <row r="103" spans="3:19" x14ac:dyDescent="0.2">
      <c r="D103" s="54" t="s">
        <v>337</v>
      </c>
    </row>
    <row r="104" spans="3:19" x14ac:dyDescent="0.2">
      <c r="D104" s="54" t="s">
        <v>338</v>
      </c>
    </row>
    <row r="193" spans="25:214" x14ac:dyDescent="0.2">
      <c r="Y193">
        <v>0</v>
      </c>
      <c r="Z193">
        <v>10</v>
      </c>
      <c r="AA193">
        <v>1.11111111111111E+118</v>
      </c>
      <c r="AB193">
        <v>1</v>
      </c>
      <c r="AC193">
        <v>1</v>
      </c>
      <c r="AD193">
        <v>1</v>
      </c>
      <c r="AE193">
        <v>1</v>
      </c>
      <c r="AF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1</v>
      </c>
      <c r="BD193">
        <v>1</v>
      </c>
      <c r="BE193">
        <v>1</v>
      </c>
      <c r="BF193">
        <v>1</v>
      </c>
      <c r="BG193">
        <v>1</v>
      </c>
      <c r="BH193">
        <v>1</v>
      </c>
      <c r="BI193">
        <v>1</v>
      </c>
      <c r="BJ193">
        <v>1</v>
      </c>
      <c r="BK193">
        <v>1</v>
      </c>
      <c r="BL193">
        <v>1</v>
      </c>
      <c r="BM193">
        <v>1</v>
      </c>
      <c r="BN193">
        <v>1</v>
      </c>
      <c r="BO193">
        <v>1</v>
      </c>
      <c r="BP193">
        <v>1</v>
      </c>
      <c r="BQ193">
        <v>1</v>
      </c>
      <c r="BR193">
        <v>1</v>
      </c>
      <c r="BS193">
        <v>1</v>
      </c>
      <c r="BT193">
        <v>1</v>
      </c>
      <c r="BU193">
        <v>1</v>
      </c>
      <c r="BV193">
        <v>1</v>
      </c>
      <c r="BW193">
        <v>1</v>
      </c>
      <c r="BX193">
        <v>1</v>
      </c>
      <c r="BY193">
        <v>1</v>
      </c>
      <c r="BZ193">
        <v>1</v>
      </c>
      <c r="CA193">
        <v>1</v>
      </c>
      <c r="CB193">
        <v>1</v>
      </c>
      <c r="CC193">
        <v>1</v>
      </c>
      <c r="CD193">
        <v>1</v>
      </c>
      <c r="CE193">
        <v>1</v>
      </c>
      <c r="CF193">
        <v>1</v>
      </c>
      <c r="CG193">
        <v>1</v>
      </c>
      <c r="CH193">
        <v>1</v>
      </c>
      <c r="CI193">
        <v>1</v>
      </c>
      <c r="CJ193">
        <v>1</v>
      </c>
      <c r="CK193">
        <v>1</v>
      </c>
      <c r="CL193">
        <v>1</v>
      </c>
      <c r="CM193">
        <v>1</v>
      </c>
      <c r="CN193">
        <v>1</v>
      </c>
      <c r="CO193">
        <v>1</v>
      </c>
      <c r="CP193">
        <v>1</v>
      </c>
      <c r="CQ193">
        <v>1</v>
      </c>
      <c r="CR193">
        <v>1</v>
      </c>
      <c r="CS193">
        <v>1</v>
      </c>
      <c r="CT193">
        <v>1</v>
      </c>
      <c r="CU193">
        <v>1</v>
      </c>
      <c r="CV193">
        <v>1</v>
      </c>
      <c r="CW193">
        <v>1</v>
      </c>
      <c r="CX193">
        <v>1</v>
      </c>
      <c r="CY193">
        <v>1</v>
      </c>
      <c r="CZ193">
        <v>1</v>
      </c>
      <c r="DA193">
        <v>1</v>
      </c>
      <c r="DB193">
        <v>1</v>
      </c>
      <c r="DC193">
        <v>1</v>
      </c>
      <c r="DD193">
        <v>1</v>
      </c>
      <c r="DE193">
        <v>1</v>
      </c>
      <c r="DF193">
        <v>1</v>
      </c>
      <c r="DG193">
        <v>1</v>
      </c>
      <c r="DH193">
        <v>1</v>
      </c>
      <c r="DI193">
        <v>1</v>
      </c>
      <c r="DJ193">
        <v>1</v>
      </c>
      <c r="DK193">
        <v>1</v>
      </c>
      <c r="DL193">
        <v>1</v>
      </c>
      <c r="DM193">
        <v>1</v>
      </c>
      <c r="DN193">
        <v>1</v>
      </c>
      <c r="DO193">
        <v>1</v>
      </c>
      <c r="DP193">
        <v>1</v>
      </c>
      <c r="DQ193">
        <v>1</v>
      </c>
      <c r="DR193">
        <v>1</v>
      </c>
      <c r="DS193">
        <v>1</v>
      </c>
      <c r="DT193">
        <v>1</v>
      </c>
      <c r="DU193">
        <v>1</v>
      </c>
      <c r="DV193">
        <v>1</v>
      </c>
      <c r="DW193">
        <v>1</v>
      </c>
      <c r="DX193">
        <v>1</v>
      </c>
      <c r="DY193">
        <v>1</v>
      </c>
      <c r="DZ193">
        <v>1</v>
      </c>
      <c r="EA193">
        <v>1</v>
      </c>
      <c r="EB193">
        <v>1</v>
      </c>
      <c r="EC193">
        <v>1</v>
      </c>
      <c r="ED193">
        <v>1</v>
      </c>
      <c r="EE193">
        <v>1</v>
      </c>
      <c r="EF193">
        <v>1</v>
      </c>
      <c r="EG193">
        <v>1</v>
      </c>
      <c r="EH193">
        <v>1</v>
      </c>
      <c r="EI193">
        <v>1</v>
      </c>
      <c r="EJ193">
        <v>1</v>
      </c>
      <c r="EK193">
        <v>1</v>
      </c>
      <c r="EL193">
        <v>1</v>
      </c>
      <c r="EM193">
        <v>1</v>
      </c>
      <c r="EN193">
        <v>1</v>
      </c>
      <c r="EO193">
        <v>1</v>
      </c>
      <c r="EP193">
        <v>1</v>
      </c>
      <c r="EQ193">
        <v>1</v>
      </c>
      <c r="ER193">
        <v>1</v>
      </c>
      <c r="ES193">
        <v>1</v>
      </c>
      <c r="ET193">
        <v>1</v>
      </c>
      <c r="EU193">
        <v>1</v>
      </c>
      <c r="EV193">
        <v>1</v>
      </c>
      <c r="EW193">
        <v>1</v>
      </c>
      <c r="EX193">
        <v>1</v>
      </c>
      <c r="EY193">
        <v>1</v>
      </c>
      <c r="EZ193">
        <v>1</v>
      </c>
      <c r="FA193">
        <v>1</v>
      </c>
      <c r="FB193">
        <v>1</v>
      </c>
      <c r="FC193">
        <v>1</v>
      </c>
      <c r="FD193">
        <v>1</v>
      </c>
      <c r="FE193">
        <v>1</v>
      </c>
      <c r="FF193">
        <v>1</v>
      </c>
      <c r="FG193">
        <v>1</v>
      </c>
      <c r="FH193">
        <v>1</v>
      </c>
      <c r="FI193">
        <v>1</v>
      </c>
      <c r="FJ193">
        <v>1</v>
      </c>
      <c r="FK193">
        <v>1</v>
      </c>
      <c r="FL193">
        <v>1</v>
      </c>
      <c r="FM193">
        <v>1</v>
      </c>
      <c r="FN193">
        <v>1</v>
      </c>
      <c r="FO193">
        <v>1</v>
      </c>
      <c r="FP193">
        <v>1</v>
      </c>
      <c r="FQ193">
        <v>1</v>
      </c>
      <c r="FR193">
        <v>1</v>
      </c>
      <c r="FS193">
        <v>1</v>
      </c>
      <c r="FT193">
        <v>1</v>
      </c>
      <c r="FU193">
        <v>1</v>
      </c>
      <c r="FV193">
        <v>1</v>
      </c>
      <c r="FW193">
        <v>1</v>
      </c>
      <c r="FX193">
        <v>1</v>
      </c>
      <c r="FY193">
        <v>1</v>
      </c>
      <c r="FZ193">
        <v>1</v>
      </c>
      <c r="GA193">
        <v>1</v>
      </c>
      <c r="GB193">
        <v>1</v>
      </c>
      <c r="GC193">
        <v>1</v>
      </c>
      <c r="GD193">
        <v>1</v>
      </c>
      <c r="GE193">
        <v>1</v>
      </c>
      <c r="GF193">
        <v>1</v>
      </c>
      <c r="GG193">
        <v>1</v>
      </c>
      <c r="GH193">
        <v>1</v>
      </c>
      <c r="GI193">
        <v>1</v>
      </c>
      <c r="GJ193">
        <v>1</v>
      </c>
      <c r="GK193">
        <v>1</v>
      </c>
      <c r="GL193">
        <v>1</v>
      </c>
      <c r="GM193">
        <v>1</v>
      </c>
      <c r="GN193">
        <v>1</v>
      </c>
      <c r="GO193">
        <v>1</v>
      </c>
      <c r="GP193">
        <v>1</v>
      </c>
      <c r="GQ193">
        <v>1</v>
      </c>
      <c r="GR193">
        <v>1</v>
      </c>
      <c r="GS193">
        <v>1</v>
      </c>
      <c r="GT193">
        <v>1</v>
      </c>
      <c r="GU193">
        <v>1</v>
      </c>
      <c r="GV193">
        <v>1</v>
      </c>
      <c r="GW193">
        <v>1</v>
      </c>
      <c r="GX193">
        <v>1</v>
      </c>
      <c r="GY193">
        <v>1</v>
      </c>
      <c r="GZ193">
        <v>1</v>
      </c>
      <c r="HA193">
        <v>1</v>
      </c>
      <c r="HB193">
        <v>1</v>
      </c>
      <c r="HC193">
        <v>1</v>
      </c>
      <c r="HD193">
        <v>1</v>
      </c>
      <c r="HE193">
        <v>1</v>
      </c>
      <c r="HF193">
        <v>1</v>
      </c>
    </row>
  </sheetData>
  <sheetProtection algorithmName="SHA-512" hashValue="uBIeIcTeDqlxuJdyrp4nqDWIcX4eJjhsJ45qDfUMCqXN70bo2ffoOjrjQHSXhZ/0RXOGdeoszCbutdFpbq3jig==" saltValue="3EGaw5cC2LUeMyNAAcExbg==" spinCount="100000" sheet="1" objects="1" scenarios="1"/>
  <mergeCells count="65">
    <mergeCell ref="AG23:AH23"/>
    <mergeCell ref="AN23:AO23"/>
    <mergeCell ref="X24:Y24"/>
    <mergeCell ref="X25:Y25"/>
    <mergeCell ref="C33:E33"/>
    <mergeCell ref="C29:E29"/>
    <mergeCell ref="AG19:AM19"/>
    <mergeCell ref="AN19:AT19"/>
    <mergeCell ref="AU19:AW19"/>
    <mergeCell ref="AC21:AC22"/>
    <mergeCell ref="AJ21:AJ22"/>
    <mergeCell ref="AQ21:AQ22"/>
    <mergeCell ref="D96:F96"/>
    <mergeCell ref="X38:Y41"/>
    <mergeCell ref="AE38:AE41"/>
    <mergeCell ref="C54:F54"/>
    <mergeCell ref="AB38:AB41"/>
    <mergeCell ref="AC38:AC41"/>
    <mergeCell ref="AD38:AD41"/>
    <mergeCell ref="Z38:Z41"/>
    <mergeCell ref="AA38:AA41"/>
    <mergeCell ref="U43:U45"/>
    <mergeCell ref="C55:F55"/>
    <mergeCell ref="F46:F51"/>
    <mergeCell ref="C52:F52"/>
    <mergeCell ref="O57:S57"/>
    <mergeCell ref="M99:S99"/>
    <mergeCell ref="C14:E14"/>
    <mergeCell ref="D15:F15"/>
    <mergeCell ref="C19:E19"/>
    <mergeCell ref="C22:E22"/>
    <mergeCell ref="C18:E18"/>
    <mergeCell ref="C17:E17"/>
    <mergeCell ref="D60:F60"/>
    <mergeCell ref="M58:S58"/>
    <mergeCell ref="Q98:S98"/>
    <mergeCell ref="C94:E94"/>
    <mergeCell ref="D95:F95"/>
    <mergeCell ref="C28:E28"/>
    <mergeCell ref="F34:F42"/>
    <mergeCell ref="F29:F31"/>
    <mergeCell ref="B45:F45"/>
    <mergeCell ref="O5:Q5"/>
    <mergeCell ref="O7:Q7"/>
    <mergeCell ref="U7:X7"/>
    <mergeCell ref="X19:AF19"/>
    <mergeCell ref="C27:E27"/>
    <mergeCell ref="C25:E25"/>
    <mergeCell ref="Z23:AA23"/>
    <mergeCell ref="C26:E26"/>
    <mergeCell ref="C23:E23"/>
    <mergeCell ref="D13:F13"/>
    <mergeCell ref="U17:U21"/>
    <mergeCell ref="B21:E21"/>
    <mergeCell ref="B9:E9"/>
    <mergeCell ref="C37:E37"/>
    <mergeCell ref="I4:J4"/>
    <mergeCell ref="E5:G5"/>
    <mergeCell ref="C10:F10"/>
    <mergeCell ref="C12:D12"/>
    <mergeCell ref="B7:E7"/>
    <mergeCell ref="J7:M7"/>
    <mergeCell ref="B10:B11"/>
    <mergeCell ref="C11:F11"/>
    <mergeCell ref="J5:K5"/>
  </mergeCells>
  <conditionalFormatting sqref="G55:R55">
    <cfRule type="cellIs" dxfId="31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8" min="1" max="18" man="1"/>
  </rowBreaks>
  <colBreaks count="1" manualBreakCount="1">
    <brk id="19" min="4" max="86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topLeftCell="A10" workbookViewId="0">
      <selection activeCell="J12" sqref="J12"/>
    </sheetView>
  </sheetViews>
  <sheetFormatPr defaultRowHeight="12.75" x14ac:dyDescent="0.2"/>
  <cols>
    <col min="1" max="1" width="10.140625" customWidth="1"/>
    <col min="2" max="2" width="23.7109375" customWidth="1"/>
    <col min="3" max="12" width="9.28515625" customWidth="1"/>
    <col min="13" max="13" width="9.7109375" customWidth="1"/>
    <col min="14" max="14" width="9.28515625" customWidth="1"/>
    <col min="25" max="25" width="9.7109375" bestFit="1" customWidth="1"/>
  </cols>
  <sheetData>
    <row r="1" spans="1:26" ht="13.5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 x14ac:dyDescent="0.2">
      <c r="A2" s="510"/>
      <c r="B2" s="53" t="s">
        <v>404</v>
      </c>
      <c r="C2" s="511">
        <f>'9. T5 KASSABUDJETTI '!G9</f>
        <v>45292</v>
      </c>
      <c r="D2" s="511">
        <f>'9. T5 KASSABUDJETTI '!H9</f>
        <v>45323</v>
      </c>
      <c r="E2" s="511">
        <f>'9. T5 KASSABUDJETTI '!I9</f>
        <v>45354</v>
      </c>
      <c r="F2" s="511">
        <f>'9. T5 KASSABUDJETTI '!J9</f>
        <v>45385</v>
      </c>
      <c r="G2" s="511">
        <f>'9. T5 KASSABUDJETTI '!K9</f>
        <v>45416</v>
      </c>
      <c r="H2" s="511">
        <f>'9. T5 KASSABUDJETTI '!L9</f>
        <v>45447</v>
      </c>
      <c r="I2" s="511">
        <f>'9. T5 KASSABUDJETTI '!M9</f>
        <v>45478</v>
      </c>
      <c r="J2" s="511">
        <f>'9. T5 KASSABUDJETTI '!N9</f>
        <v>45509</v>
      </c>
      <c r="K2" s="511">
        <f>'9. T5 KASSABUDJETTI '!O9</f>
        <v>45540</v>
      </c>
      <c r="L2" s="511">
        <f>'9. T5 KASSABUDJETTI '!P9</f>
        <v>45571</v>
      </c>
      <c r="M2" s="511">
        <f>'9. T5 KASSABUDJETTI '!Q9</f>
        <v>45602</v>
      </c>
      <c r="N2" s="512">
        <f>'9. T5 KASSABUDJETTI '!R9</f>
        <v>45633</v>
      </c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</row>
    <row r="3" spans="1:26" s="2" customFormat="1" x14ac:dyDescent="0.2">
      <c r="A3" s="513"/>
      <c r="B3" s="31" t="s">
        <v>403</v>
      </c>
      <c r="C3" s="504">
        <f>IF('9. T5 KASSABUDJETTI '!H5=1,'8. T4 RAHOITUSSUUN. '!G52,'8. T4 RAHOITUSSUUN. '!H52)</f>
        <v>0</v>
      </c>
      <c r="D3" s="504">
        <f>C3</f>
        <v>0</v>
      </c>
      <c r="E3" s="504">
        <f t="shared" ref="E3:N3" si="0">D3</f>
        <v>0</v>
      </c>
      <c r="F3" s="504">
        <f t="shared" si="0"/>
        <v>0</v>
      </c>
      <c r="G3" s="504">
        <f t="shared" si="0"/>
        <v>0</v>
      </c>
      <c r="H3" s="504">
        <f t="shared" si="0"/>
        <v>0</v>
      </c>
      <c r="I3" s="504">
        <f t="shared" si="0"/>
        <v>0</v>
      </c>
      <c r="J3" s="504">
        <f t="shared" si="0"/>
        <v>0</v>
      </c>
      <c r="K3" s="504">
        <f t="shared" si="0"/>
        <v>0</v>
      </c>
      <c r="L3" s="504">
        <f t="shared" si="0"/>
        <v>0</v>
      </c>
      <c r="M3" s="504">
        <f t="shared" si="0"/>
        <v>0</v>
      </c>
      <c r="N3" s="514">
        <f t="shared" si="0"/>
        <v>0</v>
      </c>
    </row>
    <row r="4" spans="1:26" s="2" customFormat="1" x14ac:dyDescent="0.2">
      <c r="A4" s="513"/>
      <c r="B4" s="31" t="s">
        <v>405</v>
      </c>
      <c r="C4" s="505">
        <f>IF(C3=0,0,IF('9. T5 KASSABUDJETTI '!H5=1,'3. T3 TASE '!G42/C3,'3. T3 TASE '!H42/C3))</f>
        <v>0</v>
      </c>
      <c r="D4" s="505"/>
      <c r="E4" s="505"/>
      <c r="F4" s="505"/>
      <c r="G4" s="505"/>
      <c r="H4" s="505"/>
      <c r="I4" s="31"/>
      <c r="J4" s="31"/>
      <c r="K4" s="31"/>
      <c r="L4" s="31"/>
      <c r="M4" s="31"/>
      <c r="N4" s="515"/>
    </row>
    <row r="5" spans="1:26" x14ac:dyDescent="0.2">
      <c r="A5" s="403"/>
      <c r="B5" s="4" t="s">
        <v>390</v>
      </c>
      <c r="C5" s="33">
        <f>IF(C3&lt;31,C4*C3,0)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516"/>
    </row>
    <row r="6" spans="1:26" x14ac:dyDescent="0.2">
      <c r="A6" s="403"/>
      <c r="B6" s="4" t="s">
        <v>391</v>
      </c>
      <c r="C6" s="33">
        <f>IF(C$3&lt;31,0,IF(C$3&lt;61,30*C$4,0))</f>
        <v>0</v>
      </c>
      <c r="D6" s="33">
        <f>IF(D$3&lt;31,0,IF(D$3&lt;61,$C$4*(30-(60-$C$3)),0))</f>
        <v>0</v>
      </c>
      <c r="E6" s="33"/>
      <c r="F6" s="33"/>
      <c r="G6" s="33"/>
      <c r="H6" s="33"/>
      <c r="I6" s="4"/>
      <c r="J6" s="4"/>
      <c r="K6" s="4"/>
      <c r="L6" s="4"/>
      <c r="M6" s="4"/>
      <c r="N6" s="516"/>
    </row>
    <row r="7" spans="1:26" x14ac:dyDescent="0.2">
      <c r="A7" s="403"/>
      <c r="B7" s="4" t="s">
        <v>392</v>
      </c>
      <c r="C7" s="33">
        <f>IF(C$3&lt;61,0,IF(C$3&lt;91,30*C$4,0))</f>
        <v>0</v>
      </c>
      <c r="D7" s="33">
        <f t="shared" ref="D7:D16" si="1">C7</f>
        <v>0</v>
      </c>
      <c r="E7" s="33">
        <f>IF(E$3&lt;61,0,IF(E$3&lt;91,$C$4*(30-(90-$C$3)),0))</f>
        <v>0</v>
      </c>
      <c r="F7" s="33"/>
      <c r="G7" s="33"/>
      <c r="H7" s="33"/>
      <c r="I7" s="4"/>
      <c r="J7" s="4"/>
      <c r="K7" s="4"/>
      <c r="L7" s="4"/>
      <c r="M7" s="4"/>
      <c r="N7" s="516"/>
    </row>
    <row r="8" spans="1:26" x14ac:dyDescent="0.2">
      <c r="A8" s="403"/>
      <c r="B8" s="4" t="s">
        <v>393</v>
      </c>
      <c r="C8" s="33">
        <f>IF(C$3&lt;91,0,IF(C$3&lt;121,30*C$4,0))</f>
        <v>0</v>
      </c>
      <c r="D8" s="33">
        <f t="shared" si="1"/>
        <v>0</v>
      </c>
      <c r="E8" s="33">
        <f t="shared" ref="E8:F16" si="2">D8</f>
        <v>0</v>
      </c>
      <c r="F8" s="33">
        <f>IF(F$3&lt;91,0,IF(F$3&lt;121,$C$4*(30-(120-$C$3)),0))</f>
        <v>0</v>
      </c>
      <c r="G8" s="33"/>
      <c r="H8" s="33"/>
      <c r="I8" s="4"/>
      <c r="J8" s="4"/>
      <c r="K8" s="4"/>
      <c r="L8" s="4"/>
      <c r="M8" s="4"/>
      <c r="N8" s="516"/>
    </row>
    <row r="9" spans="1:26" x14ac:dyDescent="0.2">
      <c r="A9" s="403"/>
      <c r="B9" s="4" t="s">
        <v>394</v>
      </c>
      <c r="C9" s="33">
        <f>IF(C$3&lt;121,0,IF(C$3&lt;151,30*C$4,0))</f>
        <v>0</v>
      </c>
      <c r="D9" s="33">
        <f t="shared" si="1"/>
        <v>0</v>
      </c>
      <c r="E9" s="33">
        <f t="shared" si="2"/>
        <v>0</v>
      </c>
      <c r="F9" s="33">
        <f t="shared" si="2"/>
        <v>0</v>
      </c>
      <c r="G9" s="33">
        <f>IF(G$3&lt;121,0,IF(G$3&lt;151,$C$4*(30-(150-$C$3)),0))</f>
        <v>0</v>
      </c>
      <c r="H9" s="33"/>
      <c r="I9" s="4"/>
      <c r="J9" s="4"/>
      <c r="K9" s="4"/>
      <c r="L9" s="4"/>
      <c r="M9" s="4"/>
      <c r="N9" s="516"/>
    </row>
    <row r="10" spans="1:26" x14ac:dyDescent="0.2">
      <c r="A10" s="403"/>
      <c r="B10" s="4" t="s">
        <v>395</v>
      </c>
      <c r="C10" s="33">
        <f>IF(C$3&lt;151,0,IF(C$3&lt;181,30*C$4,0))</f>
        <v>0</v>
      </c>
      <c r="D10" s="33">
        <f t="shared" si="1"/>
        <v>0</v>
      </c>
      <c r="E10" s="33">
        <f t="shared" si="2"/>
        <v>0</v>
      </c>
      <c r="F10" s="33">
        <f t="shared" si="2"/>
        <v>0</v>
      </c>
      <c r="G10" s="33">
        <f t="shared" ref="G10:G16" si="3">F10</f>
        <v>0</v>
      </c>
      <c r="H10" s="33">
        <f>IF(H$3&lt;151,0,IF(H$3&lt;181,$C$4*(30-(180-$C$3)),0))</f>
        <v>0</v>
      </c>
      <c r="I10" s="4"/>
      <c r="J10" s="4"/>
      <c r="K10" s="4"/>
      <c r="L10" s="4"/>
      <c r="M10" s="4"/>
      <c r="N10" s="516"/>
    </row>
    <row r="11" spans="1:26" x14ac:dyDescent="0.2">
      <c r="A11" s="403"/>
      <c r="B11" s="4" t="s">
        <v>407</v>
      </c>
      <c r="C11" s="33">
        <f>IF(C$3&lt;181,0,IF(C$3&lt;211,30*C$4,0))</f>
        <v>0</v>
      </c>
      <c r="D11" s="33">
        <f t="shared" si="1"/>
        <v>0</v>
      </c>
      <c r="E11" s="33">
        <f t="shared" si="2"/>
        <v>0</v>
      </c>
      <c r="F11" s="33">
        <f t="shared" si="2"/>
        <v>0</v>
      </c>
      <c r="G11" s="33">
        <f t="shared" si="3"/>
        <v>0</v>
      </c>
      <c r="H11" s="33">
        <f t="shared" ref="H11:H16" si="4">G11</f>
        <v>0</v>
      </c>
      <c r="I11" s="33">
        <f>IF(I$3&lt;181,0,IF(I$3&lt;211,$C$4*(30-(210-$C$3)),0))</f>
        <v>0</v>
      </c>
      <c r="J11" s="4"/>
      <c r="K11" s="4"/>
      <c r="L11" s="4"/>
      <c r="M11" s="4"/>
      <c r="N11" s="516"/>
    </row>
    <row r="12" spans="1:26" x14ac:dyDescent="0.2">
      <c r="A12" s="403"/>
      <c r="B12" s="4" t="s">
        <v>408</v>
      </c>
      <c r="C12" s="33">
        <f>IF(C$3&lt;211,0,IF(C$3&lt;241,30*C$4,0))</f>
        <v>0</v>
      </c>
      <c r="D12" s="33">
        <f t="shared" si="1"/>
        <v>0</v>
      </c>
      <c r="E12" s="33">
        <f t="shared" si="2"/>
        <v>0</v>
      </c>
      <c r="F12" s="33">
        <f t="shared" si="2"/>
        <v>0</v>
      </c>
      <c r="G12" s="33">
        <f t="shared" si="3"/>
        <v>0</v>
      </c>
      <c r="H12" s="33">
        <f t="shared" si="4"/>
        <v>0</v>
      </c>
      <c r="I12" s="33">
        <f>H12</f>
        <v>0</v>
      </c>
      <c r="J12" s="33">
        <f>IF(J$3&lt;211,0,IF(J$3&lt;241,$C$4*(30-(240-$C$3)),0))</f>
        <v>0</v>
      </c>
      <c r="K12" s="4"/>
      <c r="L12" s="4"/>
      <c r="M12" s="4"/>
      <c r="N12" s="516"/>
    </row>
    <row r="13" spans="1:26" x14ac:dyDescent="0.2">
      <c r="A13" s="403"/>
      <c r="B13" s="4" t="s">
        <v>409</v>
      </c>
      <c r="C13" s="33">
        <f>IF(C$3&lt;241,0,IF(C$3&lt;271,30*C$4,0))</f>
        <v>0</v>
      </c>
      <c r="D13" s="33">
        <f t="shared" si="1"/>
        <v>0</v>
      </c>
      <c r="E13" s="33">
        <f t="shared" si="2"/>
        <v>0</v>
      </c>
      <c r="F13" s="33">
        <f t="shared" si="2"/>
        <v>0</v>
      </c>
      <c r="G13" s="33">
        <f t="shared" si="3"/>
        <v>0</v>
      </c>
      <c r="H13" s="33">
        <f t="shared" si="4"/>
        <v>0</v>
      </c>
      <c r="I13" s="33">
        <f>H13</f>
        <v>0</v>
      </c>
      <c r="J13" s="33">
        <f>I13</f>
        <v>0</v>
      </c>
      <c r="K13" s="33">
        <f>IF(K$3&lt;241,0,IF(K$3&lt;271,$C$4*(30-(270-$C$3)),0))</f>
        <v>0</v>
      </c>
      <c r="L13" s="4"/>
      <c r="M13" s="4"/>
      <c r="N13" s="516"/>
    </row>
    <row r="14" spans="1:26" x14ac:dyDescent="0.2">
      <c r="A14" s="403"/>
      <c r="B14" s="4" t="s">
        <v>410</v>
      </c>
      <c r="C14" s="33">
        <f>IF(C$3&lt;271,0,IF(C$3&lt;301,30*C$4,0))</f>
        <v>0</v>
      </c>
      <c r="D14" s="33">
        <f t="shared" si="1"/>
        <v>0</v>
      </c>
      <c r="E14" s="33">
        <f t="shared" si="2"/>
        <v>0</v>
      </c>
      <c r="F14" s="33">
        <f t="shared" si="2"/>
        <v>0</v>
      </c>
      <c r="G14" s="33">
        <f t="shared" si="3"/>
        <v>0</v>
      </c>
      <c r="H14" s="33">
        <f t="shared" si="4"/>
        <v>0</v>
      </c>
      <c r="I14" s="33">
        <f>H14</f>
        <v>0</v>
      </c>
      <c r="J14" s="33">
        <f>I14</f>
        <v>0</v>
      </c>
      <c r="K14" s="33">
        <f>J14</f>
        <v>0</v>
      </c>
      <c r="L14" s="33">
        <f>IF(L$3&lt;271,0,IF(L$3&lt;301,$C$4*(30-(300-$C$3)),0))</f>
        <v>0</v>
      </c>
      <c r="M14" s="4"/>
      <c r="N14" s="516"/>
    </row>
    <row r="15" spans="1:26" x14ac:dyDescent="0.2">
      <c r="A15" s="403"/>
      <c r="B15" s="4" t="s">
        <v>411</v>
      </c>
      <c r="C15" s="33">
        <f>IF(C$3&lt;301,0,IF(C$3&lt;331,30*C$4,0))</f>
        <v>0</v>
      </c>
      <c r="D15" s="33">
        <f t="shared" si="1"/>
        <v>0</v>
      </c>
      <c r="E15" s="33">
        <f t="shared" si="2"/>
        <v>0</v>
      </c>
      <c r="F15" s="33">
        <f t="shared" si="2"/>
        <v>0</v>
      </c>
      <c r="G15" s="33">
        <f t="shared" si="3"/>
        <v>0</v>
      </c>
      <c r="H15" s="33">
        <f t="shared" si="4"/>
        <v>0</v>
      </c>
      <c r="I15" s="33">
        <f>H15</f>
        <v>0</v>
      </c>
      <c r="J15" s="33">
        <f>I15</f>
        <v>0</v>
      </c>
      <c r="K15" s="33">
        <f>J15</f>
        <v>0</v>
      </c>
      <c r="L15" s="33">
        <f>K15</f>
        <v>0</v>
      </c>
      <c r="M15" s="33">
        <f>IF(M$3&lt;301,0,IF(M$3&lt;331,$C$4*(30-(330-$C$3)),0))</f>
        <v>0</v>
      </c>
      <c r="N15" s="516"/>
    </row>
    <row r="16" spans="1:26" x14ac:dyDescent="0.2">
      <c r="A16" s="403"/>
      <c r="B16" s="4" t="s">
        <v>412</v>
      </c>
      <c r="C16" s="33">
        <f>IF(C$3&lt;331,0,IF(C$3&lt;361,30*C$4,0))</f>
        <v>0</v>
      </c>
      <c r="D16" s="33">
        <f t="shared" si="1"/>
        <v>0</v>
      </c>
      <c r="E16" s="33">
        <f t="shared" si="2"/>
        <v>0</v>
      </c>
      <c r="F16" s="33">
        <f t="shared" si="2"/>
        <v>0</v>
      </c>
      <c r="G16" s="33">
        <f t="shared" si="3"/>
        <v>0</v>
      </c>
      <c r="H16" s="33">
        <f t="shared" si="4"/>
        <v>0</v>
      </c>
      <c r="I16" s="33">
        <f>H16</f>
        <v>0</v>
      </c>
      <c r="J16" s="33">
        <f>I16</f>
        <v>0</v>
      </c>
      <c r="K16" s="33">
        <f>J16</f>
        <v>0</v>
      </c>
      <c r="L16" s="33">
        <f>K16</f>
        <v>0</v>
      </c>
      <c r="M16" s="33">
        <f>IF(M$3&lt;151,0,IF(M$3&lt;181,30*M$4,0))</f>
        <v>0</v>
      </c>
      <c r="N16" s="33">
        <f>IF(N$3&lt;331,0,IF(N$3&lt;361,$C$4*(30-(360-$C$3)),0))</f>
        <v>0</v>
      </c>
    </row>
    <row r="17" spans="1:26" x14ac:dyDescent="0.2">
      <c r="A17" s="403"/>
      <c r="B17" s="4"/>
      <c r="C17" s="33"/>
      <c r="D17" s="33"/>
      <c r="E17" s="33"/>
      <c r="F17" s="33"/>
      <c r="G17" s="33"/>
      <c r="H17" s="33"/>
      <c r="I17" s="4"/>
      <c r="J17" s="4"/>
      <c r="K17" s="4"/>
      <c r="L17" s="4"/>
      <c r="M17" s="4"/>
      <c r="N17" s="516"/>
    </row>
    <row r="18" spans="1:26" ht="13.5" thickBot="1" x14ac:dyDescent="0.25">
      <c r="A18" s="517"/>
      <c r="B18" s="518" t="s">
        <v>192</v>
      </c>
      <c r="C18" s="519">
        <f>SUM(C5:C17)</f>
        <v>0</v>
      </c>
      <c r="D18" s="519">
        <f t="shared" ref="D18:N18" si="5">SUM(D5:D17)</f>
        <v>0</v>
      </c>
      <c r="E18" s="519">
        <f t="shared" si="5"/>
        <v>0</v>
      </c>
      <c r="F18" s="519">
        <f t="shared" si="5"/>
        <v>0</v>
      </c>
      <c r="G18" s="519">
        <f t="shared" si="5"/>
        <v>0</v>
      </c>
      <c r="H18" s="519">
        <f t="shared" si="5"/>
        <v>0</v>
      </c>
      <c r="I18" s="519">
        <f t="shared" si="5"/>
        <v>0</v>
      </c>
      <c r="J18" s="519">
        <f t="shared" si="5"/>
        <v>0</v>
      </c>
      <c r="K18" s="519">
        <f t="shared" si="5"/>
        <v>0</v>
      </c>
      <c r="L18" s="519">
        <f t="shared" si="5"/>
        <v>0</v>
      </c>
      <c r="M18" s="519">
        <f t="shared" si="5"/>
        <v>0</v>
      </c>
      <c r="N18" s="519">
        <f t="shared" si="5"/>
        <v>0</v>
      </c>
    </row>
    <row r="19" spans="1:26" s="2" customFormat="1" x14ac:dyDescent="0.2">
      <c r="A19" s="31"/>
      <c r="B19" s="31" t="s">
        <v>406</v>
      </c>
      <c r="C19" s="503">
        <f>C2</f>
        <v>45292</v>
      </c>
      <c r="D19" s="503">
        <f t="shared" ref="D19:N19" si="6">D2</f>
        <v>45323</v>
      </c>
      <c r="E19" s="503">
        <f t="shared" si="6"/>
        <v>45354</v>
      </c>
      <c r="F19" s="503">
        <f t="shared" si="6"/>
        <v>45385</v>
      </c>
      <c r="G19" s="503">
        <f t="shared" si="6"/>
        <v>45416</v>
      </c>
      <c r="H19" s="503">
        <f t="shared" si="6"/>
        <v>45447</v>
      </c>
      <c r="I19" s="503">
        <f t="shared" si="6"/>
        <v>45478</v>
      </c>
      <c r="J19" s="503">
        <f t="shared" si="6"/>
        <v>45509</v>
      </c>
      <c r="K19" s="503">
        <f t="shared" si="6"/>
        <v>45540</v>
      </c>
      <c r="L19" s="503">
        <f t="shared" si="6"/>
        <v>45571</v>
      </c>
      <c r="M19" s="503">
        <f t="shared" si="6"/>
        <v>45602</v>
      </c>
      <c r="N19" s="503">
        <f t="shared" si="6"/>
        <v>45633</v>
      </c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</row>
    <row r="20" spans="1:26" s="2" customFormat="1" x14ac:dyDescent="0.2">
      <c r="A20" s="509" t="s">
        <v>400</v>
      </c>
      <c r="B20" s="31" t="s">
        <v>401</v>
      </c>
      <c r="C20" s="504">
        <f>'9. T5 KASSABUDJETTI '!E16</f>
        <v>14</v>
      </c>
      <c r="D20" s="504">
        <f t="shared" ref="D20:N20" si="7">C20</f>
        <v>14</v>
      </c>
      <c r="E20" s="504">
        <f t="shared" si="7"/>
        <v>14</v>
      </c>
      <c r="F20" s="504">
        <f t="shared" si="7"/>
        <v>14</v>
      </c>
      <c r="G20" s="504">
        <f t="shared" si="7"/>
        <v>14</v>
      </c>
      <c r="H20" s="504">
        <f t="shared" si="7"/>
        <v>14</v>
      </c>
      <c r="I20" s="504">
        <f t="shared" si="7"/>
        <v>14</v>
      </c>
      <c r="J20" s="504">
        <f t="shared" si="7"/>
        <v>14</v>
      </c>
      <c r="K20" s="504">
        <f t="shared" si="7"/>
        <v>14</v>
      </c>
      <c r="L20" s="504">
        <f t="shared" si="7"/>
        <v>14</v>
      </c>
      <c r="M20" s="504">
        <f t="shared" si="7"/>
        <v>14</v>
      </c>
      <c r="N20" s="504">
        <f t="shared" si="7"/>
        <v>14</v>
      </c>
    </row>
    <row r="21" spans="1:26" s="2" customFormat="1" x14ac:dyDescent="0.2">
      <c r="A21" s="31" t="s">
        <v>0</v>
      </c>
      <c r="B21" s="31" t="s">
        <v>374</v>
      </c>
      <c r="C21" s="505">
        <f>'9. T5 KASSABUDJETTI '!G14</f>
        <v>0</v>
      </c>
      <c r="D21" s="505">
        <f>'9. T5 KASSABUDJETTI '!H14</f>
        <v>0</v>
      </c>
      <c r="E21" s="505">
        <f>'9. T5 KASSABUDJETTI '!I14</f>
        <v>0</v>
      </c>
      <c r="F21" s="505">
        <f>'9. T5 KASSABUDJETTI '!J14</f>
        <v>0</v>
      </c>
      <c r="G21" s="505">
        <f>'9. T5 KASSABUDJETTI '!K14</f>
        <v>0</v>
      </c>
      <c r="H21" s="505">
        <f>'9. T5 KASSABUDJETTI '!L14</f>
        <v>0</v>
      </c>
      <c r="I21" s="505">
        <f>'9. T5 KASSABUDJETTI '!M14</f>
        <v>0</v>
      </c>
      <c r="J21" s="505">
        <f>'9. T5 KASSABUDJETTI '!N14</f>
        <v>0</v>
      </c>
      <c r="K21" s="505">
        <f>'9. T5 KASSABUDJETTI '!O14</f>
        <v>0</v>
      </c>
      <c r="L21" s="505">
        <f>'9. T5 KASSABUDJETTI '!P14</f>
        <v>0</v>
      </c>
      <c r="M21" s="505">
        <f>'9. T5 KASSABUDJETTI '!Q14</f>
        <v>0</v>
      </c>
      <c r="N21" s="505">
        <f>'9. T5 KASSABUDJETTI '!R14</f>
        <v>0</v>
      </c>
      <c r="Q21" s="2">
        <v>0</v>
      </c>
    </row>
    <row r="22" spans="1:26" s="508" customFormat="1" x14ac:dyDescent="0.2">
      <c r="A22" s="506" t="s">
        <v>381</v>
      </c>
      <c r="B22" s="506" t="s">
        <v>375</v>
      </c>
      <c r="C22" s="507">
        <f>IF(C$20&lt;31,C21*(30-C20)/30,0)</f>
        <v>0</v>
      </c>
      <c r="D22" s="507">
        <f t="shared" ref="D22:N22" si="8">IF(D$20&lt;31,D21*(30-D20)/30,0)</f>
        <v>0</v>
      </c>
      <c r="E22" s="507">
        <f t="shared" si="8"/>
        <v>0</v>
      </c>
      <c r="F22" s="507">
        <f t="shared" si="8"/>
        <v>0</v>
      </c>
      <c r="G22" s="507">
        <f t="shared" si="8"/>
        <v>0</v>
      </c>
      <c r="H22" s="507">
        <f t="shared" si="8"/>
        <v>0</v>
      </c>
      <c r="I22" s="507">
        <f t="shared" si="8"/>
        <v>0</v>
      </c>
      <c r="J22" s="507">
        <f t="shared" si="8"/>
        <v>0</v>
      </c>
      <c r="K22" s="507">
        <f t="shared" si="8"/>
        <v>0</v>
      </c>
      <c r="L22" s="507">
        <f t="shared" si="8"/>
        <v>0</v>
      </c>
      <c r="M22" s="507">
        <f t="shared" si="8"/>
        <v>0</v>
      </c>
      <c r="N22" s="507">
        <f t="shared" si="8"/>
        <v>0</v>
      </c>
    </row>
    <row r="23" spans="1:26" x14ac:dyDescent="0.2">
      <c r="A23" s="4" t="s">
        <v>385</v>
      </c>
      <c r="B23" s="4" t="s">
        <v>376</v>
      </c>
      <c r="C23" s="33">
        <f t="shared" ref="C23:N23" si="9">IF(C20&gt;30,0,C21-C22)</f>
        <v>0</v>
      </c>
      <c r="D23" s="33">
        <f t="shared" si="9"/>
        <v>0</v>
      </c>
      <c r="E23" s="33">
        <f t="shared" si="9"/>
        <v>0</v>
      </c>
      <c r="F23" s="33">
        <f t="shared" si="9"/>
        <v>0</v>
      </c>
      <c r="G23" s="33">
        <f t="shared" si="9"/>
        <v>0</v>
      </c>
      <c r="H23" s="33">
        <f t="shared" si="9"/>
        <v>0</v>
      </c>
      <c r="I23" s="33">
        <f t="shared" si="9"/>
        <v>0</v>
      </c>
      <c r="J23" s="33">
        <f t="shared" si="9"/>
        <v>0</v>
      </c>
      <c r="K23" s="33">
        <f t="shared" si="9"/>
        <v>0</v>
      </c>
      <c r="L23" s="33">
        <f t="shared" si="9"/>
        <v>0</v>
      </c>
      <c r="M23" s="33">
        <f t="shared" si="9"/>
        <v>0</v>
      </c>
      <c r="N23" s="33">
        <f t="shared" si="9"/>
        <v>0</v>
      </c>
    </row>
    <row r="24" spans="1:26" x14ac:dyDescent="0.2">
      <c r="A24" s="506" t="s">
        <v>385</v>
      </c>
      <c r="B24" s="506" t="s">
        <v>376</v>
      </c>
      <c r="C24" s="507">
        <f t="shared" ref="C24:N24" si="10">IF(C$20&lt;31,0,IF(C$20&gt;60,0,C$21*(60-C$20))/30)</f>
        <v>0</v>
      </c>
      <c r="D24" s="507">
        <f t="shared" si="10"/>
        <v>0</v>
      </c>
      <c r="E24" s="507">
        <f t="shared" si="10"/>
        <v>0</v>
      </c>
      <c r="F24" s="507">
        <f t="shared" si="10"/>
        <v>0</v>
      </c>
      <c r="G24" s="507">
        <f t="shared" si="10"/>
        <v>0</v>
      </c>
      <c r="H24" s="507">
        <f t="shared" si="10"/>
        <v>0</v>
      </c>
      <c r="I24" s="507">
        <f t="shared" si="10"/>
        <v>0</v>
      </c>
      <c r="J24" s="507">
        <f t="shared" si="10"/>
        <v>0</v>
      </c>
      <c r="K24" s="507">
        <f t="shared" si="10"/>
        <v>0</v>
      </c>
      <c r="L24" s="507">
        <f t="shared" si="10"/>
        <v>0</v>
      </c>
      <c r="M24" s="507">
        <f t="shared" si="10"/>
        <v>0</v>
      </c>
      <c r="N24" s="507">
        <f t="shared" si="10"/>
        <v>0</v>
      </c>
      <c r="Q24" s="4" t="s">
        <v>0</v>
      </c>
    </row>
    <row r="25" spans="1:26" x14ac:dyDescent="0.2">
      <c r="A25" s="4" t="s">
        <v>386</v>
      </c>
      <c r="B25" s="4" t="s">
        <v>377</v>
      </c>
      <c r="C25" s="33">
        <f>IF(C$20&lt;31,0,IF(C$20&gt;60,0,C21-C24))</f>
        <v>0</v>
      </c>
      <c r="D25" s="33">
        <f t="shared" ref="D25:M25" si="11">IF(D$20&lt;31,0,IF(D$20&gt;60,0,D21-D24))</f>
        <v>0</v>
      </c>
      <c r="E25" s="33">
        <f t="shared" si="11"/>
        <v>0</v>
      </c>
      <c r="F25" s="33">
        <f t="shared" si="11"/>
        <v>0</v>
      </c>
      <c r="G25" s="33">
        <f t="shared" si="11"/>
        <v>0</v>
      </c>
      <c r="H25" s="33">
        <f t="shared" si="11"/>
        <v>0</v>
      </c>
      <c r="I25" s="33">
        <f t="shared" si="11"/>
        <v>0</v>
      </c>
      <c r="J25" s="33">
        <f t="shared" si="11"/>
        <v>0</v>
      </c>
      <c r="K25" s="33">
        <f t="shared" si="11"/>
        <v>0</v>
      </c>
      <c r="L25" s="33">
        <f t="shared" si="11"/>
        <v>0</v>
      </c>
      <c r="M25" s="33">
        <f t="shared" si="11"/>
        <v>0</v>
      </c>
      <c r="N25" s="33">
        <f>IF(N$20&lt;31,0,IF(N$20&gt;60,0,N21-N24))</f>
        <v>0</v>
      </c>
      <c r="Q25" s="4"/>
    </row>
    <row r="26" spans="1:26" x14ac:dyDescent="0.2">
      <c r="A26" s="506" t="s">
        <v>386</v>
      </c>
      <c r="B26" s="506" t="s">
        <v>377</v>
      </c>
      <c r="C26" s="507">
        <f t="shared" ref="C26:N26" si="12">IF(C$20&lt;61,0,IF(C$20&gt;90,0,C$21*(90-C$20))/30)</f>
        <v>0</v>
      </c>
      <c r="D26" s="507">
        <f t="shared" si="12"/>
        <v>0</v>
      </c>
      <c r="E26" s="507">
        <f t="shared" si="12"/>
        <v>0</v>
      </c>
      <c r="F26" s="507">
        <f t="shared" si="12"/>
        <v>0</v>
      </c>
      <c r="G26" s="507">
        <f t="shared" si="12"/>
        <v>0</v>
      </c>
      <c r="H26" s="507">
        <f t="shared" si="12"/>
        <v>0</v>
      </c>
      <c r="I26" s="507">
        <f t="shared" si="12"/>
        <v>0</v>
      </c>
      <c r="J26" s="507">
        <f t="shared" si="12"/>
        <v>0</v>
      </c>
      <c r="K26" s="507">
        <f t="shared" si="12"/>
        <v>0</v>
      </c>
      <c r="L26" s="507">
        <f t="shared" si="12"/>
        <v>0</v>
      </c>
      <c r="M26" s="507">
        <f t="shared" si="12"/>
        <v>0</v>
      </c>
      <c r="N26" s="507">
        <f t="shared" si="12"/>
        <v>0</v>
      </c>
      <c r="Q26" s="4"/>
    </row>
    <row r="27" spans="1:26" x14ac:dyDescent="0.2">
      <c r="A27" s="4" t="s">
        <v>387</v>
      </c>
      <c r="B27" s="4" t="s">
        <v>378</v>
      </c>
      <c r="C27" s="33">
        <f>IF(C$20&lt;61,0,IF(C$20&gt;90,0,C21-C26))</f>
        <v>0</v>
      </c>
      <c r="D27" s="33">
        <f t="shared" ref="D27:N27" si="13">IF(D$20&lt;61,0,IF(D$20&gt;90,0,D21-D26))</f>
        <v>0</v>
      </c>
      <c r="E27" s="33">
        <f t="shared" si="13"/>
        <v>0</v>
      </c>
      <c r="F27" s="33">
        <f t="shared" si="13"/>
        <v>0</v>
      </c>
      <c r="G27" s="33">
        <f t="shared" si="13"/>
        <v>0</v>
      </c>
      <c r="H27" s="33">
        <f t="shared" si="13"/>
        <v>0</v>
      </c>
      <c r="I27" s="33">
        <f t="shared" si="13"/>
        <v>0</v>
      </c>
      <c r="J27" s="33">
        <f t="shared" si="13"/>
        <v>0</v>
      </c>
      <c r="K27" s="33">
        <f t="shared" si="13"/>
        <v>0</v>
      </c>
      <c r="L27" s="33">
        <f t="shared" si="13"/>
        <v>0</v>
      </c>
      <c r="M27" s="33">
        <f t="shared" si="13"/>
        <v>0</v>
      </c>
      <c r="N27" s="33">
        <f t="shared" si="13"/>
        <v>0</v>
      </c>
      <c r="Q27" s="4"/>
    </row>
    <row r="28" spans="1:26" x14ac:dyDescent="0.2">
      <c r="A28" s="506" t="s">
        <v>387</v>
      </c>
      <c r="B28" s="506" t="s">
        <v>378</v>
      </c>
      <c r="C28" s="507">
        <f t="shared" ref="C28:N28" si="14">IF(C$20&lt;91,0,IF(C$20&gt;120,0,C$21*(120-C$20))/30)</f>
        <v>0</v>
      </c>
      <c r="D28" s="507">
        <f t="shared" si="14"/>
        <v>0</v>
      </c>
      <c r="E28" s="507">
        <f t="shared" si="14"/>
        <v>0</v>
      </c>
      <c r="F28" s="507">
        <f t="shared" si="14"/>
        <v>0</v>
      </c>
      <c r="G28" s="507">
        <f t="shared" si="14"/>
        <v>0</v>
      </c>
      <c r="H28" s="507">
        <f t="shared" si="14"/>
        <v>0</v>
      </c>
      <c r="I28" s="507">
        <f t="shared" si="14"/>
        <v>0</v>
      </c>
      <c r="J28" s="507">
        <f t="shared" si="14"/>
        <v>0</v>
      </c>
      <c r="K28" s="507">
        <f t="shared" si="14"/>
        <v>0</v>
      </c>
      <c r="L28" s="507">
        <f t="shared" si="14"/>
        <v>0</v>
      </c>
      <c r="M28" s="507">
        <f t="shared" si="14"/>
        <v>0</v>
      </c>
      <c r="N28" s="507">
        <f t="shared" si="14"/>
        <v>0</v>
      </c>
      <c r="Q28" s="4"/>
    </row>
    <row r="29" spans="1:26" x14ac:dyDescent="0.2">
      <c r="A29" s="4" t="s">
        <v>388</v>
      </c>
      <c r="B29" s="4" t="s">
        <v>379</v>
      </c>
      <c r="C29" s="33">
        <f>IF(C$20&lt;91,0,IF(C$20&gt;120,0,C21-C28))</f>
        <v>0</v>
      </c>
      <c r="D29" s="33">
        <f t="shared" ref="D29:N29" si="15">IF(D$20&lt;91,0,IF(D$20&gt;120,0,D21-D28))</f>
        <v>0</v>
      </c>
      <c r="E29" s="33">
        <f t="shared" si="15"/>
        <v>0</v>
      </c>
      <c r="F29" s="33">
        <f t="shared" si="15"/>
        <v>0</v>
      </c>
      <c r="G29" s="33">
        <f t="shared" si="15"/>
        <v>0</v>
      </c>
      <c r="H29" s="33">
        <f t="shared" si="15"/>
        <v>0</v>
      </c>
      <c r="I29" s="33">
        <f t="shared" si="15"/>
        <v>0</v>
      </c>
      <c r="J29" s="33">
        <f t="shared" si="15"/>
        <v>0</v>
      </c>
      <c r="K29" s="33">
        <f t="shared" si="15"/>
        <v>0</v>
      </c>
      <c r="L29" s="33">
        <f t="shared" si="15"/>
        <v>0</v>
      </c>
      <c r="M29" s="33">
        <f t="shared" si="15"/>
        <v>0</v>
      </c>
      <c r="N29" s="33">
        <f t="shared" si="15"/>
        <v>0</v>
      </c>
      <c r="Q29" s="4"/>
    </row>
    <row r="30" spans="1:26" x14ac:dyDescent="0.2">
      <c r="A30" s="506" t="s">
        <v>388</v>
      </c>
      <c r="B30" s="506" t="s">
        <v>379</v>
      </c>
      <c r="C30" s="507">
        <f t="shared" ref="C30:N30" si="16">IF(C$20&lt;121,0,IF(C$20&gt;150,0,C$21*(150-C$20))/30)</f>
        <v>0</v>
      </c>
      <c r="D30" s="507">
        <f t="shared" si="16"/>
        <v>0</v>
      </c>
      <c r="E30" s="507">
        <f t="shared" si="16"/>
        <v>0</v>
      </c>
      <c r="F30" s="507">
        <f t="shared" si="16"/>
        <v>0</v>
      </c>
      <c r="G30" s="507">
        <f t="shared" si="16"/>
        <v>0</v>
      </c>
      <c r="H30" s="507">
        <f t="shared" si="16"/>
        <v>0</v>
      </c>
      <c r="I30" s="507">
        <f t="shared" si="16"/>
        <v>0</v>
      </c>
      <c r="J30" s="507">
        <f t="shared" si="16"/>
        <v>0</v>
      </c>
      <c r="K30" s="507">
        <f t="shared" si="16"/>
        <v>0</v>
      </c>
      <c r="L30" s="507">
        <f t="shared" si="16"/>
        <v>0</v>
      </c>
      <c r="M30" s="507">
        <f t="shared" si="16"/>
        <v>0</v>
      </c>
      <c r="N30" s="507">
        <f t="shared" si="16"/>
        <v>0</v>
      </c>
      <c r="Q30" s="4"/>
    </row>
    <row r="31" spans="1:26" x14ac:dyDescent="0.2">
      <c r="A31" s="4" t="s">
        <v>389</v>
      </c>
      <c r="B31" s="4" t="s">
        <v>380</v>
      </c>
      <c r="C31" s="33">
        <f>IF(C$20&lt;121,0,IF(C$20&gt;150,0,C21-C30))</f>
        <v>0</v>
      </c>
      <c r="D31" s="33">
        <f t="shared" ref="D31:N31" si="17">IF(D$20&lt;121,0,IF(D$20&gt;150,0,D21-D30))</f>
        <v>0</v>
      </c>
      <c r="E31" s="33">
        <f t="shared" si="17"/>
        <v>0</v>
      </c>
      <c r="F31" s="33">
        <f t="shared" si="17"/>
        <v>0</v>
      </c>
      <c r="G31" s="33">
        <f t="shared" si="17"/>
        <v>0</v>
      </c>
      <c r="H31" s="33">
        <f t="shared" si="17"/>
        <v>0</v>
      </c>
      <c r="I31" s="33">
        <f t="shared" si="17"/>
        <v>0</v>
      </c>
      <c r="J31" s="33">
        <f t="shared" si="17"/>
        <v>0</v>
      </c>
      <c r="K31" s="33">
        <f t="shared" si="17"/>
        <v>0</v>
      </c>
      <c r="L31" s="33">
        <f t="shared" si="17"/>
        <v>0</v>
      </c>
      <c r="M31" s="33">
        <f t="shared" si="17"/>
        <v>0</v>
      </c>
      <c r="N31" s="33">
        <f t="shared" si="17"/>
        <v>0</v>
      </c>
      <c r="Q31" s="4"/>
    </row>
    <row r="32" spans="1:26" x14ac:dyDescent="0.2">
      <c r="A32" s="506" t="s">
        <v>389</v>
      </c>
      <c r="B32" s="506" t="s">
        <v>380</v>
      </c>
      <c r="C32" s="507">
        <f t="shared" ref="C32:N32" si="18">IF(C$20&lt;151,0,IF(C$20&gt;180,0,C$21*(180-C$20))/30)</f>
        <v>0</v>
      </c>
      <c r="D32" s="507">
        <f t="shared" si="18"/>
        <v>0</v>
      </c>
      <c r="E32" s="507">
        <f t="shared" si="18"/>
        <v>0</v>
      </c>
      <c r="F32" s="507">
        <f t="shared" si="18"/>
        <v>0</v>
      </c>
      <c r="G32" s="507">
        <f t="shared" si="18"/>
        <v>0</v>
      </c>
      <c r="H32" s="507">
        <f t="shared" si="18"/>
        <v>0</v>
      </c>
      <c r="I32" s="507">
        <f t="shared" si="18"/>
        <v>0</v>
      </c>
      <c r="J32" s="507">
        <f t="shared" si="18"/>
        <v>0</v>
      </c>
      <c r="K32" s="507">
        <f t="shared" si="18"/>
        <v>0</v>
      </c>
      <c r="L32" s="507">
        <f t="shared" si="18"/>
        <v>0</v>
      </c>
      <c r="M32" s="507">
        <f t="shared" si="18"/>
        <v>0</v>
      </c>
      <c r="N32" s="507">
        <f t="shared" si="18"/>
        <v>0</v>
      </c>
      <c r="Q32" s="4"/>
    </row>
    <row r="33" spans="1:17" x14ac:dyDescent="0.2">
      <c r="A33" s="4"/>
      <c r="B33" s="4" t="s">
        <v>382</v>
      </c>
      <c r="C33" s="33">
        <f>IF(C$20&lt;151,0,IF(C$20&gt;180,0,C21-C32))</f>
        <v>0</v>
      </c>
      <c r="D33" s="33">
        <f t="shared" ref="D33:N33" si="19">IF(D$20&lt;151,0,IF(D$20&gt;180,0,D21-D32))</f>
        <v>0</v>
      </c>
      <c r="E33" s="33">
        <f t="shared" si="19"/>
        <v>0</v>
      </c>
      <c r="F33" s="33">
        <f t="shared" si="19"/>
        <v>0</v>
      </c>
      <c r="G33" s="33">
        <f t="shared" si="19"/>
        <v>0</v>
      </c>
      <c r="H33" s="33">
        <f t="shared" si="19"/>
        <v>0</v>
      </c>
      <c r="I33" s="33">
        <f t="shared" si="19"/>
        <v>0</v>
      </c>
      <c r="J33" s="33">
        <f t="shared" si="19"/>
        <v>0</v>
      </c>
      <c r="K33" s="33">
        <f t="shared" si="19"/>
        <v>0</v>
      </c>
      <c r="L33" s="33">
        <f t="shared" si="19"/>
        <v>0</v>
      </c>
      <c r="M33" s="33">
        <f t="shared" si="19"/>
        <v>0</v>
      </c>
      <c r="N33" s="33">
        <f t="shared" si="19"/>
        <v>0</v>
      </c>
      <c r="Q33" s="4"/>
    </row>
    <row r="34" spans="1:17" s="2" customFormat="1" x14ac:dyDescent="0.2">
      <c r="A34" s="31"/>
      <c r="B34" s="31" t="s">
        <v>383</v>
      </c>
      <c r="C34" s="503">
        <f t="shared" ref="C34:N34" si="20">C2</f>
        <v>45292</v>
      </c>
      <c r="D34" s="503">
        <f t="shared" si="20"/>
        <v>45323</v>
      </c>
      <c r="E34" s="503">
        <f t="shared" si="20"/>
        <v>45354</v>
      </c>
      <c r="F34" s="503">
        <f t="shared" si="20"/>
        <v>45385</v>
      </c>
      <c r="G34" s="503">
        <f t="shared" si="20"/>
        <v>45416</v>
      </c>
      <c r="H34" s="503">
        <f t="shared" si="20"/>
        <v>45447</v>
      </c>
      <c r="I34" s="503">
        <f t="shared" si="20"/>
        <v>45478</v>
      </c>
      <c r="J34" s="503">
        <f t="shared" si="20"/>
        <v>45509</v>
      </c>
      <c r="K34" s="503">
        <f t="shared" si="20"/>
        <v>45540</v>
      </c>
      <c r="L34" s="503">
        <f t="shared" si="20"/>
        <v>45571</v>
      </c>
      <c r="M34" s="503">
        <f t="shared" si="20"/>
        <v>45602</v>
      </c>
      <c r="N34" s="503">
        <f t="shared" si="20"/>
        <v>45633</v>
      </c>
      <c r="Q34" s="4"/>
    </row>
    <row r="35" spans="1:17" x14ac:dyDescent="0.2">
      <c r="A35" s="4"/>
      <c r="B35" s="4" t="s">
        <v>402</v>
      </c>
      <c r="C35" s="33">
        <f t="shared" ref="C35:H35" si="21">C22</f>
        <v>0</v>
      </c>
      <c r="D35" s="33">
        <f t="shared" si="21"/>
        <v>0</v>
      </c>
      <c r="E35" s="33">
        <f t="shared" si="21"/>
        <v>0</v>
      </c>
      <c r="F35" s="33">
        <f t="shared" si="21"/>
        <v>0</v>
      </c>
      <c r="G35" s="33">
        <f t="shared" si="21"/>
        <v>0</v>
      </c>
      <c r="H35" s="33">
        <f t="shared" si="21"/>
        <v>0</v>
      </c>
      <c r="I35" s="33">
        <f t="shared" ref="I35:N35" si="22">I22</f>
        <v>0</v>
      </c>
      <c r="J35" s="33">
        <f t="shared" si="22"/>
        <v>0</v>
      </c>
      <c r="K35" s="33">
        <f t="shared" si="22"/>
        <v>0</v>
      </c>
      <c r="L35" s="33">
        <f t="shared" si="22"/>
        <v>0</v>
      </c>
      <c r="M35" s="33">
        <f t="shared" si="22"/>
        <v>0</v>
      </c>
      <c r="N35" s="33">
        <f t="shared" si="22"/>
        <v>0</v>
      </c>
    </row>
    <row r="36" spans="1:17" x14ac:dyDescent="0.2">
      <c r="A36" s="4"/>
      <c r="B36" s="4" t="s">
        <v>376</v>
      </c>
      <c r="C36" s="33"/>
      <c r="D36" s="33">
        <f>C23+C24</f>
        <v>0</v>
      </c>
      <c r="E36" s="33">
        <f>D23+D24</f>
        <v>0</v>
      </c>
      <c r="F36" s="33">
        <f t="shared" ref="F36:M36" si="23">E23+E24</f>
        <v>0</v>
      </c>
      <c r="G36" s="33">
        <f t="shared" si="23"/>
        <v>0</v>
      </c>
      <c r="H36" s="33">
        <f t="shared" si="23"/>
        <v>0</v>
      </c>
      <c r="I36" s="33">
        <f t="shared" si="23"/>
        <v>0</v>
      </c>
      <c r="J36" s="33">
        <f t="shared" si="23"/>
        <v>0</v>
      </c>
      <c r="K36" s="33">
        <f t="shared" si="23"/>
        <v>0</v>
      </c>
      <c r="L36" s="33">
        <f t="shared" si="23"/>
        <v>0</v>
      </c>
      <c r="M36" s="33">
        <f t="shared" si="23"/>
        <v>0</v>
      </c>
      <c r="N36" s="33">
        <f>M23+M24</f>
        <v>0</v>
      </c>
    </row>
    <row r="37" spans="1:17" x14ac:dyDescent="0.2">
      <c r="A37" s="4"/>
      <c r="B37" s="4" t="s">
        <v>377</v>
      </c>
      <c r="C37" s="33"/>
      <c r="D37" s="33"/>
      <c r="E37" s="33">
        <f>C25+C26</f>
        <v>0</v>
      </c>
      <c r="F37" s="33">
        <f t="shared" ref="F37:M37" si="24">D25+D26</f>
        <v>0</v>
      </c>
      <c r="G37" s="33">
        <f t="shared" si="24"/>
        <v>0</v>
      </c>
      <c r="H37" s="33">
        <f t="shared" si="24"/>
        <v>0</v>
      </c>
      <c r="I37" s="33">
        <f t="shared" si="24"/>
        <v>0</v>
      </c>
      <c r="J37" s="33">
        <f t="shared" si="24"/>
        <v>0</v>
      </c>
      <c r="K37" s="33">
        <f t="shared" si="24"/>
        <v>0</v>
      </c>
      <c r="L37" s="33">
        <f t="shared" si="24"/>
        <v>0</v>
      </c>
      <c r="M37" s="33">
        <f t="shared" si="24"/>
        <v>0</v>
      </c>
      <c r="N37" s="33">
        <f>L25+L26</f>
        <v>0</v>
      </c>
    </row>
    <row r="38" spans="1:17" x14ac:dyDescent="0.2">
      <c r="A38" s="4"/>
      <c r="B38" s="4" t="s">
        <v>378</v>
      </c>
      <c r="C38" s="33"/>
      <c r="D38" s="33"/>
      <c r="E38" s="33"/>
      <c r="F38" s="33">
        <f>C27+C28</f>
        <v>0</v>
      </c>
      <c r="G38" s="33">
        <f t="shared" ref="G38:N38" si="25">D27+D28</f>
        <v>0</v>
      </c>
      <c r="H38" s="33">
        <f t="shared" si="25"/>
        <v>0</v>
      </c>
      <c r="I38" s="33">
        <f t="shared" si="25"/>
        <v>0</v>
      </c>
      <c r="J38" s="33">
        <f t="shared" si="25"/>
        <v>0</v>
      </c>
      <c r="K38" s="33">
        <f t="shared" si="25"/>
        <v>0</v>
      </c>
      <c r="L38" s="33">
        <f t="shared" si="25"/>
        <v>0</v>
      </c>
      <c r="M38" s="33">
        <f t="shared" si="25"/>
        <v>0</v>
      </c>
      <c r="N38" s="33">
        <f t="shared" si="25"/>
        <v>0</v>
      </c>
    </row>
    <row r="39" spans="1:17" x14ac:dyDescent="0.2">
      <c r="A39" s="4"/>
      <c r="B39" s="4" t="s">
        <v>379</v>
      </c>
      <c r="C39" s="33"/>
      <c r="D39" s="33"/>
      <c r="E39" s="33"/>
      <c r="F39" s="33"/>
      <c r="G39" s="33">
        <f>C29+C30</f>
        <v>0</v>
      </c>
      <c r="H39" s="33">
        <f t="shared" ref="H39:N39" si="26">D29+D30</f>
        <v>0</v>
      </c>
      <c r="I39" s="33">
        <f t="shared" si="26"/>
        <v>0</v>
      </c>
      <c r="J39" s="33">
        <f t="shared" si="26"/>
        <v>0</v>
      </c>
      <c r="K39" s="33">
        <f t="shared" si="26"/>
        <v>0</v>
      </c>
      <c r="L39" s="33">
        <f t="shared" si="26"/>
        <v>0</v>
      </c>
      <c r="M39" s="33">
        <f t="shared" si="26"/>
        <v>0</v>
      </c>
      <c r="N39" s="33">
        <f t="shared" si="26"/>
        <v>0</v>
      </c>
    </row>
    <row r="40" spans="1:17" x14ac:dyDescent="0.2">
      <c r="A40" s="4"/>
      <c r="B40" s="4" t="s">
        <v>380</v>
      </c>
      <c r="C40" s="33"/>
      <c r="D40" s="33"/>
      <c r="E40" s="33"/>
      <c r="F40" s="33"/>
      <c r="G40" s="33"/>
      <c r="H40" s="33">
        <f>C31+C32</f>
        <v>0</v>
      </c>
      <c r="I40" s="33">
        <f t="shared" ref="I40:N40" si="27">D31+D32</f>
        <v>0</v>
      </c>
      <c r="J40" s="33">
        <f t="shared" si="27"/>
        <v>0</v>
      </c>
      <c r="K40" s="33">
        <f t="shared" si="27"/>
        <v>0</v>
      </c>
      <c r="L40" s="33">
        <f t="shared" si="27"/>
        <v>0</v>
      </c>
      <c r="M40" s="33">
        <f t="shared" si="27"/>
        <v>0</v>
      </c>
      <c r="N40" s="33">
        <f t="shared" si="27"/>
        <v>0</v>
      </c>
    </row>
    <row r="41" spans="1:17" x14ac:dyDescent="0.2">
      <c r="A41" s="4"/>
      <c r="B41" s="4" t="s">
        <v>382</v>
      </c>
      <c r="C41" s="33"/>
      <c r="D41" s="33"/>
      <c r="E41" s="33"/>
      <c r="F41" s="33"/>
      <c r="G41" s="33"/>
      <c r="H41" s="33"/>
      <c r="I41" s="33">
        <f t="shared" ref="I41:N41" si="28">C33</f>
        <v>0</v>
      </c>
      <c r="J41" s="33">
        <f t="shared" si="28"/>
        <v>0</v>
      </c>
      <c r="K41" s="33">
        <f t="shared" si="28"/>
        <v>0</v>
      </c>
      <c r="L41" s="33">
        <f t="shared" si="28"/>
        <v>0</v>
      </c>
      <c r="M41" s="33">
        <f t="shared" si="28"/>
        <v>0</v>
      </c>
      <c r="N41" s="33">
        <f t="shared" si="28"/>
        <v>0</v>
      </c>
    </row>
    <row r="42" spans="1:17" s="2" customFormat="1" x14ac:dyDescent="0.2">
      <c r="A42" s="31"/>
      <c r="B42" s="31" t="s">
        <v>384</v>
      </c>
      <c r="C42" s="505">
        <f>SUM(C35:C41)</f>
        <v>0</v>
      </c>
      <c r="D42" s="505">
        <f t="shared" ref="D42:N42" si="29">SUM(D35:D41)</f>
        <v>0</v>
      </c>
      <c r="E42" s="505">
        <f t="shared" si="29"/>
        <v>0</v>
      </c>
      <c r="F42" s="505">
        <f t="shared" si="29"/>
        <v>0</v>
      </c>
      <c r="G42" s="505">
        <f t="shared" si="29"/>
        <v>0</v>
      </c>
      <c r="H42" s="505">
        <f t="shared" si="29"/>
        <v>0</v>
      </c>
      <c r="I42" s="505">
        <f t="shared" si="29"/>
        <v>0</v>
      </c>
      <c r="J42" s="505">
        <f t="shared" si="29"/>
        <v>0</v>
      </c>
      <c r="K42" s="505">
        <f t="shared" si="29"/>
        <v>0</v>
      </c>
      <c r="L42" s="505">
        <f t="shared" si="29"/>
        <v>0</v>
      </c>
      <c r="M42" s="505">
        <f t="shared" si="29"/>
        <v>0</v>
      </c>
      <c r="N42" s="505">
        <f t="shared" si="29"/>
        <v>0</v>
      </c>
    </row>
    <row r="43" spans="1:17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V/FBWM2651ch/myVffjtsWGRsOC3wO0oaZGlFY8EiVzfjE3jJ5LEAH4mHMbpvw+LkjF4BuUdNibhxfW0k7FpJQ==" saltValue="KF9meohfpBQxVJpBoOrY1w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I17" sqref="I17"/>
    </sheetView>
  </sheetViews>
  <sheetFormatPr defaultRowHeight="12.75" x14ac:dyDescent="0.2"/>
  <cols>
    <col min="1" max="1" width="10.5703125" customWidth="1"/>
    <col min="2" max="2" width="2.28515625" customWidth="1"/>
    <col min="3" max="3" width="27.5703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425781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054"/>
      <c r="C2" s="2054"/>
      <c r="D2" s="769"/>
      <c r="E2" s="769"/>
      <c r="F2" s="769"/>
      <c r="G2" s="769"/>
      <c r="H2" s="425"/>
      <c r="J2" s="425"/>
      <c r="K2" s="134"/>
      <c r="L2" s="134"/>
      <c r="M2" s="134"/>
      <c r="N2" s="134"/>
      <c r="O2" s="134"/>
      <c r="Q2" s="2095"/>
      <c r="R2" s="2095"/>
      <c r="S2" s="851"/>
      <c r="T2" s="851"/>
      <c r="U2" s="851"/>
      <c r="V2" s="851"/>
      <c r="W2" s="851"/>
      <c r="X2" s="851"/>
      <c r="Y2" s="851"/>
      <c r="AA2" s="2104"/>
      <c r="AB2" s="2104"/>
      <c r="AC2" s="143"/>
      <c r="AD2" s="143"/>
      <c r="AE2" s="143"/>
      <c r="AF2" s="47"/>
      <c r="AG2" s="47"/>
      <c r="AH2" s="47"/>
      <c r="AI2" s="47"/>
      <c r="AK2" s="47"/>
      <c r="AR2" s="2199"/>
      <c r="AS2" s="143"/>
      <c r="AT2" s="143"/>
      <c r="AU2" s="47"/>
      <c r="AV2" s="47"/>
      <c r="AW2" s="47"/>
      <c r="AY2" t="s">
        <v>0</v>
      </c>
    </row>
    <row r="3" spans="2:51" ht="15.6" customHeight="1" x14ac:dyDescent="0.2">
      <c r="B3" s="550"/>
      <c r="C3" s="756"/>
      <c r="D3" s="425"/>
      <c r="E3" s="134"/>
      <c r="F3" s="134"/>
      <c r="G3" s="269"/>
      <c r="H3" s="425"/>
      <c r="K3" s="134"/>
      <c r="L3" s="134"/>
      <c r="M3" s="134"/>
      <c r="N3" s="134"/>
      <c r="O3" s="134"/>
      <c r="Q3" s="2105"/>
      <c r="R3" s="2105"/>
      <c r="S3" s="2105"/>
      <c r="T3" s="830"/>
      <c r="U3" s="830"/>
      <c r="W3" s="849">
        <v>0</v>
      </c>
      <c r="X3" s="134"/>
      <c r="Y3" s="134"/>
      <c r="AA3" s="1263"/>
      <c r="AB3" s="1263"/>
      <c r="AC3" s="830"/>
      <c r="AD3" s="830"/>
      <c r="AE3" s="830"/>
      <c r="AF3" s="830"/>
      <c r="AG3" s="82"/>
      <c r="AK3" s="850"/>
      <c r="AL3" s="738"/>
      <c r="AQ3" s="763"/>
      <c r="AR3" s="2199"/>
      <c r="AS3" s="830"/>
      <c r="AT3" s="830"/>
      <c r="AU3" s="830"/>
      <c r="AW3" s="850"/>
      <c r="AX3" s="738"/>
    </row>
    <row r="4" spans="2:51" ht="8.4499999999999993" customHeight="1" x14ac:dyDescent="0.2">
      <c r="B4" s="550"/>
      <c r="C4" s="425"/>
      <c r="D4" s="425"/>
      <c r="E4" s="2073"/>
      <c r="F4" s="2074"/>
      <c r="G4" s="550"/>
      <c r="H4" s="551"/>
      <c r="I4" s="134"/>
      <c r="J4" s="134"/>
      <c r="K4" s="134"/>
      <c r="L4" s="134"/>
      <c r="M4" s="134"/>
      <c r="N4" s="134"/>
      <c r="O4" s="134"/>
      <c r="Q4" s="2105"/>
      <c r="R4" s="2105"/>
      <c r="S4" s="2105"/>
      <c r="T4" s="134"/>
      <c r="U4" s="134"/>
      <c r="V4" s="134"/>
      <c r="W4" s="134"/>
      <c r="X4" s="134"/>
      <c r="Y4" s="134"/>
      <c r="AA4" s="143" t="s">
        <v>0</v>
      </c>
      <c r="AB4" s="143"/>
      <c r="AC4" s="143"/>
      <c r="AD4" s="143"/>
      <c r="AE4" s="143" t="s">
        <v>0</v>
      </c>
      <c r="AF4" s="143"/>
      <c r="AG4" s="143"/>
      <c r="AH4" s="143" t="s">
        <v>0</v>
      </c>
      <c r="AI4" s="143" t="s">
        <v>0</v>
      </c>
      <c r="AJ4" s="143"/>
      <c r="AK4" s="143"/>
      <c r="AL4" s="143"/>
      <c r="AM4" s="143" t="s">
        <v>0</v>
      </c>
      <c r="AN4" s="143" t="s">
        <v>0</v>
      </c>
      <c r="AO4" s="143" t="s">
        <v>0</v>
      </c>
      <c r="AP4" s="143"/>
    </row>
    <row r="5" spans="2:51" ht="12" customHeight="1" x14ac:dyDescent="0.2">
      <c r="B5" s="1378" t="s">
        <v>703</v>
      </c>
      <c r="C5" s="1379"/>
      <c r="D5" s="1379"/>
      <c r="E5" s="1379"/>
      <c r="F5" s="1379"/>
      <c r="G5" s="1379" t="s">
        <v>93</v>
      </c>
      <c r="H5" s="1380"/>
      <c r="I5" s="2075" t="s">
        <v>532</v>
      </c>
      <c r="J5" s="2076"/>
      <c r="K5" s="2076"/>
      <c r="L5" s="2076"/>
      <c r="M5" s="2076"/>
      <c r="N5" s="2076"/>
      <c r="O5" s="2077"/>
      <c r="Q5" s="2087" t="s">
        <v>588</v>
      </c>
      <c r="R5" s="2087"/>
      <c r="S5" s="1368"/>
      <c r="T5" s="1363" t="s">
        <v>107</v>
      </c>
      <c r="U5" s="1363" t="str">
        <f>T5</f>
        <v>Tot. tilikausi</v>
      </c>
      <c r="V5" s="1363" t="s">
        <v>110</v>
      </c>
      <c r="W5" s="1363" t="s">
        <v>98</v>
      </c>
      <c r="X5" s="1363" t="s">
        <v>100</v>
      </c>
      <c r="Y5" s="1363" t="s">
        <v>259</v>
      </c>
      <c r="AA5" s="2050" t="s">
        <v>695</v>
      </c>
      <c r="AB5" s="2050"/>
      <c r="AC5" s="2050"/>
      <c r="AD5" s="2050"/>
      <c r="AE5" s="2036" t="str">
        <f>T5</f>
        <v>Tot. tilikausi</v>
      </c>
      <c r="AF5" s="2036"/>
      <c r="AG5" s="2036" t="str">
        <f>U5</f>
        <v>Tot. tilikausi</v>
      </c>
      <c r="AH5" s="2036"/>
      <c r="AI5" s="2036" t="str">
        <f>V5</f>
        <v>Ennuste 1</v>
      </c>
      <c r="AJ5" s="2036"/>
      <c r="AK5" s="2036" t="str">
        <f>W5</f>
        <v>Ennuste 2</v>
      </c>
      <c r="AL5" s="2036"/>
      <c r="AM5" s="2036" t="str">
        <f>X5</f>
        <v>Ennuste 3</v>
      </c>
      <c r="AN5" s="2036"/>
      <c r="AO5" s="2036" t="str">
        <f>Y5</f>
        <v>Ennuste 4</v>
      </c>
      <c r="AP5" s="2036"/>
      <c r="AR5" s="2053" t="s">
        <v>561</v>
      </c>
      <c r="AS5" s="2053"/>
      <c r="AT5" s="2052" t="str">
        <f>AU5</f>
        <v>Toteutunut tilikausi</v>
      </c>
      <c r="AU5" s="2052" t="str">
        <f>'2. &amp; 7. T2 TULOSSUUN. '!G7</f>
        <v>Toteutunut tilikausi</v>
      </c>
      <c r="AV5" s="2036" t="str">
        <f>AI5</f>
        <v>Ennuste 1</v>
      </c>
      <c r="AW5" s="2036" t="str">
        <f>AK5</f>
        <v>Ennuste 2</v>
      </c>
      <c r="AX5" s="2036" t="str">
        <f>AM5</f>
        <v>Ennuste 3</v>
      </c>
      <c r="AY5" s="2036" t="str">
        <f>AO5</f>
        <v>Ennuste 4</v>
      </c>
    </row>
    <row r="6" spans="2:51" ht="12.6" customHeight="1" x14ac:dyDescent="0.2">
      <c r="B6" s="2083" t="str">
        <f>'2. &amp; 7. T2 TULOSSUUN. '!B5</f>
        <v xml:space="preserve"> </v>
      </c>
      <c r="C6" s="2066"/>
      <c r="D6" s="2066"/>
      <c r="E6" s="2066"/>
      <c r="F6" s="2066"/>
      <c r="G6" s="2071">
        <f>'1. T1 INVESTOINTISUUN.'!E4</f>
        <v>0</v>
      </c>
      <c r="H6" s="2072"/>
      <c r="I6" s="2065">
        <f>'1. T1 INVESTOINTISUUN.'!E7</f>
        <v>0</v>
      </c>
      <c r="J6" s="2066"/>
      <c r="K6" s="2066"/>
      <c r="L6" s="2066"/>
      <c r="M6" s="2066"/>
      <c r="N6" s="2066"/>
      <c r="O6" s="2067"/>
      <c r="Q6" s="2087"/>
      <c r="R6" s="2087"/>
      <c r="S6" s="1368"/>
      <c r="T6" s="1363">
        <f>'3. T3 TASE '!F11</f>
        <v>2021</v>
      </c>
      <c r="U6" s="1363">
        <f>'3. T3 TASE '!G11</f>
        <v>2022</v>
      </c>
      <c r="V6" s="1363">
        <f>'3. T3 TASE '!H11</f>
        <v>2024</v>
      </c>
      <c r="W6" s="1363">
        <f>'3. T3 TASE '!I11</f>
        <v>2025</v>
      </c>
      <c r="X6" s="1363">
        <f>'3. T3 TASE '!J11</f>
        <v>2026</v>
      </c>
      <c r="Y6" s="1363">
        <f>'3. T3 TASE '!K11</f>
        <v>2027</v>
      </c>
      <c r="AA6" s="2050"/>
      <c r="AB6" s="2050"/>
      <c r="AC6" s="2050"/>
      <c r="AD6" s="2050"/>
      <c r="AE6" s="2037">
        <f>T6</f>
        <v>2021</v>
      </c>
      <c r="AF6" s="2037"/>
      <c r="AG6" s="2037">
        <f>U6</f>
        <v>2022</v>
      </c>
      <c r="AH6" s="2037"/>
      <c r="AI6" s="2037">
        <f>V6</f>
        <v>2024</v>
      </c>
      <c r="AJ6" s="2037"/>
      <c r="AK6" s="2037">
        <f>W6</f>
        <v>2025</v>
      </c>
      <c r="AL6" s="2037"/>
      <c r="AM6" s="2037">
        <f>X6</f>
        <v>2026</v>
      </c>
      <c r="AN6" s="2037"/>
      <c r="AO6" s="2037">
        <f>Y6</f>
        <v>2027</v>
      </c>
      <c r="AP6" s="2037"/>
      <c r="AR6" s="2053"/>
      <c r="AS6" s="2053"/>
      <c r="AT6" s="2052"/>
      <c r="AU6" s="2052"/>
      <c r="AV6" s="2036"/>
      <c r="AW6" s="2036"/>
      <c r="AX6" s="2036"/>
      <c r="AY6" s="2036"/>
    </row>
    <row r="7" spans="2:51" ht="11.25" customHeight="1" x14ac:dyDescent="0.2">
      <c r="B7" s="1381" t="s">
        <v>530</v>
      </c>
      <c r="C7" s="1361"/>
      <c r="D7" s="1361"/>
      <c r="E7" s="1361"/>
      <c r="F7" s="1361"/>
      <c r="G7" s="1361"/>
      <c r="H7" s="1362"/>
      <c r="I7" s="2068" t="s">
        <v>533</v>
      </c>
      <c r="J7" s="2069"/>
      <c r="K7" s="2069"/>
      <c r="L7" s="2069"/>
      <c r="M7" s="2069"/>
      <c r="N7" s="2069"/>
      <c r="O7" s="2070"/>
      <c r="Q7" s="878" t="s">
        <v>220</v>
      </c>
      <c r="R7" s="881" t="s">
        <v>221</v>
      </c>
      <c r="S7" s="873"/>
      <c r="T7" s="879">
        <f>'3. T3 TASE '!F13/1000</f>
        <v>0</v>
      </c>
      <c r="U7" s="877">
        <f>'3. T3 TASE '!G13/1000</f>
        <v>0</v>
      </c>
      <c r="V7" s="877">
        <f>'3. T3 TASE '!H13/1000</f>
        <v>0</v>
      </c>
      <c r="W7" s="877">
        <f>'3. T3 TASE '!I13/1000</f>
        <v>0</v>
      </c>
      <c r="X7" s="877">
        <f>'3. T3 TASE '!J13/1000</f>
        <v>0</v>
      </c>
      <c r="Y7" s="877">
        <f>'3. T3 TASE '!K13/1000</f>
        <v>0</v>
      </c>
      <c r="AA7" s="897" t="s">
        <v>562</v>
      </c>
      <c r="AB7" s="898"/>
      <c r="AC7" s="898"/>
      <c r="AD7" s="1088" t="s">
        <v>89</v>
      </c>
      <c r="AE7" s="2045">
        <f>'8. T4 RAHOITUSSUUN. '!F49/1000</f>
        <v>0</v>
      </c>
      <c r="AF7" s="2045"/>
      <c r="AG7" s="2045">
        <f>'8. T4 RAHOITUSSUUN. '!G49/1000</f>
        <v>0</v>
      </c>
      <c r="AH7" s="2045"/>
      <c r="AI7" s="2045">
        <f>'8. T4 RAHOITUSSUUN. '!H49/1000</f>
        <v>0</v>
      </c>
      <c r="AJ7" s="2045"/>
      <c r="AK7" s="2045">
        <f>'8. T4 RAHOITUSSUUN. '!I49/1000</f>
        <v>0</v>
      </c>
      <c r="AL7" s="2045"/>
      <c r="AM7" s="2045">
        <f>'8. T4 RAHOITUSSUUN. '!J49/1000</f>
        <v>0</v>
      </c>
      <c r="AN7" s="2045"/>
      <c r="AO7" s="2045">
        <f>'8. T4 RAHOITUSSUUN. '!K49/1000</f>
        <v>0</v>
      </c>
      <c r="AP7" s="2045"/>
      <c r="AR7" s="2053"/>
      <c r="AS7" s="2053"/>
      <c r="AT7" s="1376">
        <f>AE6</f>
        <v>2021</v>
      </c>
      <c r="AU7" s="1376">
        <f>AG6</f>
        <v>2022</v>
      </c>
      <c r="AV7" s="1376">
        <f>AI6</f>
        <v>2024</v>
      </c>
      <c r="AW7" s="1376">
        <f>AK6</f>
        <v>2025</v>
      </c>
      <c r="AX7" s="1376">
        <f>AM6</f>
        <v>2026</v>
      </c>
      <c r="AY7" s="1376">
        <f>AO6</f>
        <v>2027</v>
      </c>
    </row>
    <row r="8" spans="2:51" ht="11.25" customHeight="1" x14ac:dyDescent="0.2">
      <c r="B8" s="2088">
        <f>'1. T1 INVESTOINTISUUN.'!B9:D9</f>
        <v>0</v>
      </c>
      <c r="C8" s="2066"/>
      <c r="D8" s="2066"/>
      <c r="E8" s="2066"/>
      <c r="F8" s="2066"/>
      <c r="G8" s="2066"/>
      <c r="H8" s="2089"/>
      <c r="I8" s="2118">
        <f>'1. T1 INVESTOINTISUUN.'!E9</f>
        <v>0</v>
      </c>
      <c r="J8" s="2066"/>
      <c r="K8" s="2066"/>
      <c r="L8" s="2066"/>
      <c r="M8" s="2066"/>
      <c r="N8" s="2066"/>
      <c r="O8" s="2067"/>
      <c r="Q8" s="855"/>
      <c r="R8" s="865" t="s">
        <v>618</v>
      </c>
      <c r="S8" s="874"/>
      <c r="T8" s="880">
        <f>'3. T3 TASE '!F14/1000</f>
        <v>0</v>
      </c>
      <c r="U8" s="866">
        <f>'3. T3 TASE '!G14/1000</f>
        <v>0</v>
      </c>
      <c r="V8" s="866">
        <f>'3. T3 TASE '!H14/1000</f>
        <v>0</v>
      </c>
      <c r="W8" s="866">
        <f>'3. T3 TASE '!I14/1000</f>
        <v>0</v>
      </c>
      <c r="X8" s="866">
        <f>'3. T3 TASE '!J14/1000</f>
        <v>0</v>
      </c>
      <c r="Y8" s="866">
        <f>'3. T3 TASE '!K14/1000</f>
        <v>0</v>
      </c>
      <c r="AA8" s="2048" t="s">
        <v>633</v>
      </c>
      <c r="AB8" s="2048"/>
      <c r="AC8" s="2048"/>
      <c r="AD8" s="2049"/>
      <c r="AE8" s="2051">
        <f>'8. T4 RAHOITUSSUUN. '!F50</f>
        <v>0</v>
      </c>
      <c r="AF8" s="2051"/>
      <c r="AG8" s="2051">
        <f>'8. T4 RAHOITUSSUUN. '!G50</f>
        <v>0</v>
      </c>
      <c r="AH8" s="2051"/>
      <c r="AI8" s="2051">
        <f>'8. T4 RAHOITUSSUUN. '!H50</f>
        <v>0</v>
      </c>
      <c r="AJ8" s="2051"/>
      <c r="AK8" s="2051">
        <f>'8. T4 RAHOITUSSUUN. '!I50</f>
        <v>0</v>
      </c>
      <c r="AL8" s="2051"/>
      <c r="AM8" s="2051">
        <f>'8. T4 RAHOITUSSUUN. '!J50</f>
        <v>0</v>
      </c>
      <c r="AN8" s="2051"/>
      <c r="AO8" s="2051">
        <f>'8. T4 RAHOITUSSUUN. '!K50</f>
        <v>0</v>
      </c>
      <c r="AP8" s="2051"/>
      <c r="AR8" s="1024" t="str">
        <f>'8. T4 RAHOITUSSUUN. '!M26</f>
        <v xml:space="preserve"> MAKSUVALMIUS</v>
      </c>
      <c r="AS8" s="134"/>
      <c r="AU8" s="140"/>
      <c r="AV8" s="140"/>
      <c r="AW8" s="901"/>
    </row>
    <row r="9" spans="2:51" ht="11.25" customHeight="1" x14ac:dyDescent="0.2">
      <c r="B9" s="2090" t="s">
        <v>531</v>
      </c>
      <c r="C9" s="2091"/>
      <c r="D9" s="2091"/>
      <c r="E9" s="2091"/>
      <c r="F9" s="2091"/>
      <c r="G9" s="2091"/>
      <c r="H9" s="2092"/>
      <c r="I9" s="2068" t="str">
        <f>'1. T1 INVESTOINTISUUN.'!E10</f>
        <v xml:space="preserve"> Aloittamisajankohta</v>
      </c>
      <c r="J9" s="2069"/>
      <c r="K9" s="2069"/>
      <c r="L9" s="2069"/>
      <c r="M9" s="2069"/>
      <c r="N9" s="2069"/>
      <c r="O9" s="2070"/>
      <c r="Q9" s="855"/>
      <c r="R9" s="865" t="s">
        <v>619</v>
      </c>
      <c r="S9" s="874"/>
      <c r="T9" s="880">
        <f>'3. T3 TASE '!F18/1000</f>
        <v>0</v>
      </c>
      <c r="U9" s="866">
        <f>'3. T3 TASE '!G18/1000</f>
        <v>0</v>
      </c>
      <c r="V9" s="866">
        <f>'3. T3 TASE '!H18/1000</f>
        <v>0</v>
      </c>
      <c r="W9" s="866">
        <f>'3. T3 TASE '!I18/1000</f>
        <v>0</v>
      </c>
      <c r="X9" s="866">
        <f>'3. T3 TASE '!J18/1000</f>
        <v>0</v>
      </c>
      <c r="Y9" s="866">
        <f>'3. T3 TASE '!K18/1000</f>
        <v>0</v>
      </c>
      <c r="AA9" s="899" t="s">
        <v>563</v>
      </c>
      <c r="AB9" s="900"/>
      <c r="AC9" s="900"/>
      <c r="AD9" s="1088" t="s">
        <v>89</v>
      </c>
      <c r="AE9" s="2045">
        <f>'8. T4 RAHOITUSSUUN. '!F51/1000</f>
        <v>0</v>
      </c>
      <c r="AF9" s="2045"/>
      <c r="AG9" s="2045">
        <f>'8. T4 RAHOITUSSUUN. '!G51/1000</f>
        <v>0</v>
      </c>
      <c r="AH9" s="2045"/>
      <c r="AI9" s="2045">
        <f>'8. T4 RAHOITUSSUUN. '!H51/1000</f>
        <v>0</v>
      </c>
      <c r="AJ9" s="2045"/>
      <c r="AK9" s="2045">
        <f>'8. T4 RAHOITUSSUUN. '!I51/1000</f>
        <v>0</v>
      </c>
      <c r="AL9" s="2045"/>
      <c r="AM9" s="2045">
        <f>'8. T4 RAHOITUSSUUN. '!J51/1000</f>
        <v>0</v>
      </c>
      <c r="AN9" s="2045"/>
      <c r="AO9" s="2045">
        <f>'8. T4 RAHOITUSSUUN. '!K51/1000</f>
        <v>0</v>
      </c>
      <c r="AP9" s="2045"/>
      <c r="AR9" s="903" t="s">
        <v>299</v>
      </c>
      <c r="AS9" s="904"/>
      <c r="AT9" s="902">
        <f>'8. T4 RAHOITUSSUUN. '!P27</f>
        <v>0</v>
      </c>
      <c r="AU9" s="902">
        <f>'8. T4 RAHOITUSSUUN. '!Q27</f>
        <v>0</v>
      </c>
      <c r="AV9" s="902">
        <f>'8. T4 RAHOITUSSUUN. '!R27</f>
        <v>0</v>
      </c>
      <c r="AW9" s="902">
        <f>'8. T4 RAHOITUSSUUN. '!S27</f>
        <v>0</v>
      </c>
      <c r="AX9" s="902">
        <f>'8. T4 RAHOITUSSUUN. '!T27</f>
        <v>0</v>
      </c>
      <c r="AY9" s="902">
        <f>'8. T4 RAHOITUSSUUN. '!U27</f>
        <v>0</v>
      </c>
    </row>
    <row r="10" spans="2:51" ht="11.25" customHeight="1" x14ac:dyDescent="0.2">
      <c r="B10" s="2193">
        <f>'1. T1 INVESTOINTISUUN.'!B11</f>
        <v>0</v>
      </c>
      <c r="C10" s="1691"/>
      <c r="D10" s="1691"/>
      <c r="E10" s="1691"/>
      <c r="F10" s="1691"/>
      <c r="G10" s="1691"/>
      <c r="H10" s="2194"/>
      <c r="I10" s="2119">
        <f>'1. T1 INVESTOINTISUUN.'!E11</f>
        <v>0</v>
      </c>
      <c r="J10" s="2120"/>
      <c r="K10" s="2120"/>
      <c r="L10" s="2120"/>
      <c r="M10" s="2120"/>
      <c r="N10" s="2120"/>
      <c r="O10" s="2121"/>
      <c r="Q10" s="855"/>
      <c r="R10" s="864" t="s">
        <v>279</v>
      </c>
      <c r="S10" s="882"/>
      <c r="T10" s="880">
        <f>'3. T3 TASE '!F19/1000</f>
        <v>0</v>
      </c>
      <c r="U10" s="866">
        <f>'3. T3 TASE '!G19/1000</f>
        <v>0</v>
      </c>
      <c r="V10" s="866">
        <f>'3. T3 TASE '!H19/1000</f>
        <v>0</v>
      </c>
      <c r="W10" s="866">
        <f>'3. T3 TASE '!I19/1000</f>
        <v>0</v>
      </c>
      <c r="X10" s="866">
        <f>'3. T3 TASE '!J19/1000</f>
        <v>0</v>
      </c>
      <c r="Y10" s="866">
        <f>'3. T3 TASE '!K19/1000</f>
        <v>0</v>
      </c>
      <c r="AA10" s="2048" t="s">
        <v>283</v>
      </c>
      <c r="AB10" s="2048"/>
      <c r="AC10" s="2048"/>
      <c r="AD10" s="2049"/>
      <c r="AE10" s="2042">
        <f>'8. T4 RAHOITUSSUUN. '!F52</f>
        <v>0</v>
      </c>
      <c r="AF10" s="2042"/>
      <c r="AG10" s="2042">
        <f>'8. T4 RAHOITUSSUUN. '!G52</f>
        <v>0</v>
      </c>
      <c r="AH10" s="2042"/>
      <c r="AI10" s="2042">
        <f>'8. T4 RAHOITUSSUUN. '!H52</f>
        <v>0</v>
      </c>
      <c r="AJ10" s="2042"/>
      <c r="AK10" s="2042">
        <f>'8. T4 RAHOITUSSUUN. '!I52</f>
        <v>0</v>
      </c>
      <c r="AL10" s="2042"/>
      <c r="AM10" s="2042">
        <f>'8. T4 RAHOITUSSUUN. '!J52</f>
        <v>0</v>
      </c>
      <c r="AN10" s="2042"/>
      <c r="AO10" s="2042">
        <f>'8. T4 RAHOITUSSUUN. '!K52</f>
        <v>0</v>
      </c>
      <c r="AP10" s="2042"/>
      <c r="AR10" s="425"/>
      <c r="AS10" s="1092" t="s">
        <v>327</v>
      </c>
      <c r="AT10" s="1093">
        <f>'8. T4 RAHOITUSSUUN. '!P28</f>
        <v>0</v>
      </c>
      <c r="AU10" s="1093">
        <f>'8. T4 RAHOITUSSUUN. '!Q28</f>
        <v>0</v>
      </c>
      <c r="AV10" s="1093">
        <f>'8. T4 RAHOITUSSUUN. '!R28</f>
        <v>0</v>
      </c>
      <c r="AW10" s="1093">
        <f>'8. T4 RAHOITUSSUUN. '!S28</f>
        <v>0</v>
      </c>
      <c r="AX10" s="1093">
        <f>'8. T4 RAHOITUSSUUN. '!T28</f>
        <v>0</v>
      </c>
      <c r="AY10" s="1093">
        <f>'8. T4 RAHOITUSSUUN. '!U28</f>
        <v>0</v>
      </c>
    </row>
    <row r="11" spans="2:51" ht="11.25" customHeight="1" x14ac:dyDescent="0.2">
      <c r="B11" s="2195"/>
      <c r="C11" s="1691"/>
      <c r="D11" s="1691"/>
      <c r="E11" s="1691"/>
      <c r="F11" s="1691"/>
      <c r="G11" s="1691"/>
      <c r="H11" s="2194"/>
      <c r="I11" s="2068" t="s">
        <v>534</v>
      </c>
      <c r="J11" s="2069"/>
      <c r="K11" s="2069"/>
      <c r="L11" s="2069"/>
      <c r="M11" s="2069"/>
      <c r="N11" s="2069"/>
      <c r="O11" s="2070"/>
      <c r="Q11" s="855"/>
      <c r="R11" s="865" t="s">
        <v>255</v>
      </c>
      <c r="S11" s="874"/>
      <c r="T11" s="880">
        <f>'3. T3 TASE '!F22/1000</f>
        <v>0</v>
      </c>
      <c r="U11" s="866">
        <f>'3. T3 TASE '!G22/1000</f>
        <v>0</v>
      </c>
      <c r="V11" s="866">
        <f>'3. T3 TASE '!H22/1000</f>
        <v>0</v>
      </c>
      <c r="W11" s="866">
        <f>'3. T3 TASE '!I22/1000</f>
        <v>0</v>
      </c>
      <c r="X11" s="866">
        <f>'3. T3 TASE '!J22/1000</f>
        <v>0</v>
      </c>
      <c r="Y11" s="866">
        <f>'3. T3 TASE '!K22/1000</f>
        <v>0</v>
      </c>
      <c r="AA11" s="899" t="s">
        <v>564</v>
      </c>
      <c r="AB11" s="900"/>
      <c r="AC11" s="900"/>
      <c r="AD11" s="1088" t="s">
        <v>89</v>
      </c>
      <c r="AE11" s="2045">
        <f>'8. T4 RAHOITUSSUUN. '!F53/1000</f>
        <v>0</v>
      </c>
      <c r="AF11" s="2045"/>
      <c r="AG11" s="2045">
        <f>'8. T4 RAHOITUSSUUN. '!G53/1000</f>
        <v>0</v>
      </c>
      <c r="AH11" s="2045"/>
      <c r="AI11" s="2045">
        <f>'8. T4 RAHOITUSSUUN. '!H53/1000</f>
        <v>0</v>
      </c>
      <c r="AJ11" s="2045"/>
      <c r="AK11" s="2045">
        <f>'8. T4 RAHOITUSSUUN. '!I53/1000</f>
        <v>0</v>
      </c>
      <c r="AL11" s="2045"/>
      <c r="AM11" s="2045">
        <f>'8. T4 RAHOITUSSUUN. '!J53/1000</f>
        <v>0</v>
      </c>
      <c r="AN11" s="2045"/>
      <c r="AO11" s="2045">
        <f>'8. T4 RAHOITUSSUUN. '!K53/1000</f>
        <v>0</v>
      </c>
      <c r="AP11" s="2045"/>
      <c r="AR11" s="903" t="s">
        <v>300</v>
      </c>
      <c r="AS11" s="904"/>
      <c r="AT11" s="902">
        <f>'8. T4 RAHOITUSSUUN. '!P29</f>
        <v>0</v>
      </c>
      <c r="AU11" s="902">
        <f>'8. T4 RAHOITUSSUUN. '!Q29</f>
        <v>0</v>
      </c>
      <c r="AV11" s="902">
        <f>'8. T4 RAHOITUSSUUN. '!R29</f>
        <v>0</v>
      </c>
      <c r="AW11" s="902">
        <f>'8. T4 RAHOITUSSUUN. '!S29</f>
        <v>0</v>
      </c>
      <c r="AX11" s="902">
        <f>'8. T4 RAHOITUSSUUN. '!T29</f>
        <v>0</v>
      </c>
      <c r="AY11" s="902">
        <f>'8. T4 RAHOITUSSUUN. '!U29</f>
        <v>0</v>
      </c>
    </row>
    <row r="12" spans="2:51" ht="11.25" customHeight="1" x14ac:dyDescent="0.2">
      <c r="B12" s="2196"/>
      <c r="C12" s="2197"/>
      <c r="D12" s="2197"/>
      <c r="E12" s="2197"/>
      <c r="F12" s="2197"/>
      <c r="G12" s="2197"/>
      <c r="H12" s="2198"/>
      <c r="I12" s="2127">
        <f>'1. T1 INVESTOINTISUUN.'!E13</f>
        <v>0</v>
      </c>
      <c r="J12" s="2128"/>
      <c r="K12" s="2128"/>
      <c r="L12" s="2128"/>
      <c r="M12" s="2128"/>
      <c r="N12" s="2128"/>
      <c r="O12" s="2129"/>
      <c r="Q12" s="855"/>
      <c r="R12" s="865" t="s">
        <v>256</v>
      </c>
      <c r="S12" s="874"/>
      <c r="T12" s="880">
        <f>'3. T3 TASE '!F26/1000</f>
        <v>0</v>
      </c>
      <c r="U12" s="866">
        <f>'3. T3 TASE '!G26/1000</f>
        <v>0</v>
      </c>
      <c r="V12" s="866">
        <f>'3. T3 TASE '!H26/1000</f>
        <v>0</v>
      </c>
      <c r="W12" s="866">
        <f>'3. T3 TASE '!I26/1000</f>
        <v>0</v>
      </c>
      <c r="X12" s="866">
        <f>'3. T3 TASE '!J26/1000</f>
        <v>0</v>
      </c>
      <c r="Y12" s="866">
        <f>'3. T3 TASE '!K26/1000</f>
        <v>0</v>
      </c>
      <c r="AA12" s="899" t="s">
        <v>565</v>
      </c>
      <c r="AB12" s="900"/>
      <c r="AC12" s="900"/>
      <c r="AD12" s="1088" t="s">
        <v>89</v>
      </c>
      <c r="AE12" s="2045"/>
      <c r="AF12" s="2045"/>
      <c r="AG12" s="2045"/>
      <c r="AH12" s="2045"/>
      <c r="AI12" s="2045">
        <f>'8. T4 RAHOITUSSUUN. '!H54/1000</f>
        <v>0</v>
      </c>
      <c r="AJ12" s="2045"/>
      <c r="AK12" s="2045">
        <f>'8. T4 RAHOITUSSUUN. '!I54/1000</f>
        <v>0</v>
      </c>
      <c r="AL12" s="2045"/>
      <c r="AM12" s="2045">
        <f>'8. T4 RAHOITUSSUUN. '!J54/1000</f>
        <v>0</v>
      </c>
      <c r="AN12" s="2045"/>
      <c r="AO12" s="2045">
        <f>'8. T4 RAHOITUSSUUN. '!K54/1000</f>
        <v>0</v>
      </c>
      <c r="AP12" s="2045"/>
      <c r="AR12" s="425"/>
      <c r="AS12" s="1092" t="s">
        <v>327</v>
      </c>
      <c r="AT12" s="1093">
        <f>'8. T4 RAHOITUSSUUN. '!P30</f>
        <v>0</v>
      </c>
      <c r="AU12" s="1093">
        <f>'8. T4 RAHOITUSSUUN. '!Q30</f>
        <v>0</v>
      </c>
      <c r="AV12" s="1093">
        <f>'8. T4 RAHOITUSSUUN. '!R30</f>
        <v>0</v>
      </c>
      <c r="AW12" s="1093">
        <f>'8. T4 RAHOITUSSUUN. '!S30</f>
        <v>0</v>
      </c>
      <c r="AX12" s="1093">
        <f>'8. T4 RAHOITUSSUUN. '!T30</f>
        <v>0</v>
      </c>
      <c r="AY12" s="1093">
        <f>'8. T4 RAHOITUSSUUN. '!U30</f>
        <v>0</v>
      </c>
    </row>
    <row r="13" spans="2:51" ht="10.9" customHeight="1" x14ac:dyDescent="0.2">
      <c r="B13" s="550"/>
      <c r="C13" s="425"/>
      <c r="D13" s="425"/>
      <c r="E13" s="425"/>
      <c r="F13" s="425"/>
      <c r="G13" s="425"/>
      <c r="H13" s="425"/>
      <c r="I13" s="134"/>
      <c r="J13" s="134"/>
      <c r="K13" s="134"/>
      <c r="L13" s="134"/>
      <c r="M13" s="134"/>
      <c r="N13" s="134"/>
      <c r="O13" s="134"/>
      <c r="Q13" s="855"/>
      <c r="R13" s="864" t="s">
        <v>257</v>
      </c>
      <c r="S13" s="882"/>
      <c r="T13" s="880">
        <f>'3. T3 TASE '!F30/1000</f>
        <v>0</v>
      </c>
      <c r="U13" s="866">
        <f>'3. T3 TASE '!G30/1000</f>
        <v>0</v>
      </c>
      <c r="V13" s="866">
        <f>'3. T3 TASE '!H30/1000</f>
        <v>0</v>
      </c>
      <c r="W13" s="866">
        <f>'3. T3 TASE '!I30/1000</f>
        <v>0</v>
      </c>
      <c r="X13" s="866">
        <f>'3. T3 TASE '!J30/1000</f>
        <v>0</v>
      </c>
      <c r="Y13" s="866">
        <f>'3. T3 TASE '!K30/1000</f>
        <v>0</v>
      </c>
      <c r="AA13" s="2125" t="s">
        <v>636</v>
      </c>
      <c r="AB13" s="2125"/>
      <c r="AC13" s="2125"/>
      <c r="AD13" s="2126"/>
      <c r="AE13" s="2122">
        <f>'8. T4 RAHOITUSSUUN. '!F55</f>
        <v>0</v>
      </c>
      <c r="AF13" s="2122"/>
      <c r="AG13" s="2122">
        <f>'8. T4 RAHOITUSSUUN. '!G55</f>
        <v>0</v>
      </c>
      <c r="AH13" s="2122"/>
      <c r="AI13" s="2122">
        <f>'8. T4 RAHOITUSSUUN. '!H55</f>
        <v>0</v>
      </c>
      <c r="AJ13" s="2122"/>
      <c r="AK13" s="2122">
        <f>'8. T4 RAHOITUSSUUN. '!I55</f>
        <v>0</v>
      </c>
      <c r="AL13" s="2122"/>
      <c r="AM13" s="2122">
        <f>'8. T4 RAHOITUSSUUN. '!J55</f>
        <v>0</v>
      </c>
      <c r="AN13" s="2122"/>
      <c r="AO13" s="2122">
        <f>'8. T4 RAHOITUSSUUN. '!K55</f>
        <v>0</v>
      </c>
      <c r="AP13" s="2122"/>
      <c r="AR13" s="903" t="s">
        <v>441</v>
      </c>
      <c r="AS13" s="904"/>
      <c r="AT13" s="1127">
        <f>'8. T4 RAHOITUSSUUN. '!P31</f>
        <v>0</v>
      </c>
      <c r="AU13" s="902">
        <f>'8. T4 RAHOITUSSUUN. '!Q31</f>
        <v>0</v>
      </c>
      <c r="AV13" s="902">
        <f>'8. T4 RAHOITUSSUUN. '!R31</f>
        <v>0</v>
      </c>
      <c r="AW13" s="902">
        <f>'8. T4 RAHOITUSSUUN. '!S31</f>
        <v>0</v>
      </c>
      <c r="AX13" s="902">
        <f>'8. T4 RAHOITUSSUUN. '!T31</f>
        <v>0</v>
      </c>
      <c r="AY13" s="902">
        <f>'8. T4 RAHOITUSSUUN. '!U31</f>
        <v>0</v>
      </c>
    </row>
    <row r="14" spans="2:51" ht="11.25" customHeight="1" x14ac:dyDescent="0.2">
      <c r="B14" s="2084" t="s">
        <v>693</v>
      </c>
      <c r="C14" s="2085"/>
      <c r="D14" s="1382" t="s">
        <v>430</v>
      </c>
      <c r="E14" s="1382" t="s">
        <v>431</v>
      </c>
      <c r="F14" s="1382" t="s">
        <v>432</v>
      </c>
      <c r="G14" s="1382" t="s">
        <v>433</v>
      </c>
      <c r="H14" s="2059" t="s">
        <v>434</v>
      </c>
      <c r="I14" s="2061" t="s">
        <v>528</v>
      </c>
      <c r="J14" s="2061"/>
      <c r="K14" s="2061"/>
      <c r="L14" s="2061"/>
      <c r="M14" s="2061"/>
      <c r="N14" s="2061"/>
      <c r="O14" s="2062"/>
      <c r="Q14" s="855"/>
      <c r="R14" s="865" t="s">
        <v>620</v>
      </c>
      <c r="S14" s="874"/>
      <c r="T14" s="880">
        <f>'3. T3 TASE '!F34/1000</f>
        <v>0</v>
      </c>
      <c r="U14" s="866">
        <f>'3. T3 TASE '!G34/1000</f>
        <v>0</v>
      </c>
      <c r="V14" s="866">
        <f>'3. T3 TASE '!H34/1000</f>
        <v>0</v>
      </c>
      <c r="W14" s="866">
        <f>'3. T3 TASE '!I34/1000</f>
        <v>0</v>
      </c>
      <c r="X14" s="866">
        <f>'3. T3 TASE '!J34/1000</f>
        <v>0</v>
      </c>
      <c r="Y14" s="866">
        <f>'3. T3 TASE '!K34/1000</f>
        <v>0</v>
      </c>
      <c r="AA14" s="899" t="s">
        <v>566</v>
      </c>
      <c r="AB14" s="900"/>
      <c r="AC14" s="900"/>
      <c r="AD14" s="1089" t="s">
        <v>90</v>
      </c>
      <c r="AE14" s="2045">
        <f>'8. T4 RAHOITUSSUUN. '!F56/1000</f>
        <v>0</v>
      </c>
      <c r="AF14" s="2045"/>
      <c r="AG14" s="2045">
        <f>'8. T4 RAHOITUSSUUN. '!G56/1000</f>
        <v>0</v>
      </c>
      <c r="AH14" s="2045"/>
      <c r="AI14" s="2045">
        <f>'8. T4 RAHOITUSSUUN. '!H56/1000</f>
        <v>0</v>
      </c>
      <c r="AJ14" s="2045"/>
      <c r="AK14" s="2045">
        <f>'8. T4 RAHOITUSSUUN. '!I56/1000</f>
        <v>0</v>
      </c>
      <c r="AL14" s="2045"/>
      <c r="AM14" s="2045">
        <f>'8. T4 RAHOITUSSUUN. '!J56/1000</f>
        <v>0</v>
      </c>
      <c r="AN14" s="2045"/>
      <c r="AO14" s="2045">
        <f>'8. T4 RAHOITUSSUUN. '!K56/1000</f>
        <v>0</v>
      </c>
      <c r="AP14" s="2045"/>
      <c r="AR14" s="905" t="s">
        <v>317</v>
      </c>
      <c r="AS14" s="906"/>
      <c r="AT14" s="1127">
        <f>'8. T4 RAHOITUSSUUN. '!P32</f>
        <v>0</v>
      </c>
      <c r="AU14" s="902">
        <f>'8. T4 RAHOITUSSUUN. '!Q32</f>
        <v>0</v>
      </c>
      <c r="AV14" s="902">
        <f>'8. T4 RAHOITUSSUUN. '!R32</f>
        <v>0</v>
      </c>
      <c r="AW14" s="902">
        <f>'8. T4 RAHOITUSSUUN. '!S32</f>
        <v>0</v>
      </c>
      <c r="AX14" s="902">
        <f>'8. T4 RAHOITUSSUUN. '!T32</f>
        <v>0</v>
      </c>
      <c r="AY14" s="902">
        <f>'8. T4 RAHOITUSSUUN. '!U32</f>
        <v>0</v>
      </c>
    </row>
    <row r="15" spans="2:51" ht="11.25" customHeight="1" x14ac:dyDescent="0.2">
      <c r="B15" s="2086"/>
      <c r="C15" s="2087"/>
      <c r="D15" s="1364">
        <f>'1. T1 INVESTOINTISUUN.'!D16</f>
        <v>2024</v>
      </c>
      <c r="E15" s="1364">
        <f>'1. T1 INVESTOINTISUUN.'!E16</f>
        <v>2025</v>
      </c>
      <c r="F15" s="1364">
        <f>'1. T1 INVESTOINTISUUN.'!F16</f>
        <v>2026</v>
      </c>
      <c r="G15" s="1364">
        <f>'1. T1 INVESTOINTISUUN.'!G16</f>
        <v>2027</v>
      </c>
      <c r="H15" s="2060"/>
      <c r="I15" s="2063"/>
      <c r="J15" s="2063"/>
      <c r="K15" s="2063"/>
      <c r="L15" s="2063"/>
      <c r="M15" s="2063"/>
      <c r="N15" s="2063"/>
      <c r="O15" s="2064"/>
      <c r="Q15" s="878" t="s">
        <v>218</v>
      </c>
      <c r="R15" s="883" t="s">
        <v>219</v>
      </c>
      <c r="S15" s="875"/>
      <c r="T15" s="879">
        <f>'3. T3 TASE '!F38/1000</f>
        <v>0</v>
      </c>
      <c r="U15" s="877">
        <f>'3. T3 TASE '!G38/1000</f>
        <v>0</v>
      </c>
      <c r="V15" s="877">
        <f>'3. T3 TASE '!H38/1000</f>
        <v>0</v>
      </c>
      <c r="W15" s="877">
        <f>'3. T3 TASE '!I38/1000</f>
        <v>0</v>
      </c>
      <c r="X15" s="877">
        <f>'3. T3 TASE '!J38/1000</f>
        <v>0</v>
      </c>
      <c r="Y15" s="877">
        <f>'3. T3 TASE '!K38/1000</f>
        <v>0</v>
      </c>
      <c r="AA15" s="2125" t="s">
        <v>439</v>
      </c>
      <c r="AB15" s="2125"/>
      <c r="AC15" s="2125"/>
      <c r="AD15" s="2126"/>
      <c r="AE15" s="2186">
        <f>'8. T4 RAHOITUSSUUN. '!F57</f>
        <v>0</v>
      </c>
      <c r="AF15" s="2186"/>
      <c r="AG15" s="2186">
        <f>'8. T4 RAHOITUSSUUN. '!G57</f>
        <v>0</v>
      </c>
      <c r="AH15" s="2186"/>
      <c r="AI15" s="2186">
        <f>'8. T4 RAHOITUSSUUN. '!H57</f>
        <v>0</v>
      </c>
      <c r="AJ15" s="2186"/>
      <c r="AK15" s="2186">
        <f>'8. T4 RAHOITUSSUUN. '!I57</f>
        <v>0</v>
      </c>
      <c r="AL15" s="2186"/>
      <c r="AM15" s="2186">
        <f>'8. T4 RAHOITUSSUUN. '!J57</f>
        <v>0</v>
      </c>
      <c r="AN15" s="2186"/>
      <c r="AO15" s="2186">
        <f>'8. T4 RAHOITUSSUUN. '!K57</f>
        <v>0</v>
      </c>
      <c r="AP15" s="2186"/>
      <c r="AR15" s="425"/>
      <c r="AS15" s="1092" t="s">
        <v>327</v>
      </c>
      <c r="AT15" s="1094">
        <v>0</v>
      </c>
      <c r="AU15" s="1094">
        <f>'8. T4 RAHOITUSSUUN. '!Q33</f>
        <v>0</v>
      </c>
      <c r="AV15" s="1093">
        <f>'8. T4 RAHOITUSSUUN. '!R33</f>
        <v>0</v>
      </c>
      <c r="AW15" s="1093">
        <f>'8. T4 RAHOITUSSUUN. '!S33</f>
        <v>0</v>
      </c>
      <c r="AX15" s="1093">
        <f>'8. T4 RAHOITUSSUUN. '!T33</f>
        <v>0</v>
      </c>
      <c r="AY15" s="1093">
        <f>'8. T4 RAHOITUSSUUN. '!U33</f>
        <v>0</v>
      </c>
    </row>
    <row r="16" spans="2:51" ht="11.25" customHeight="1" x14ac:dyDescent="0.2">
      <c r="B16" s="1383" t="s">
        <v>2</v>
      </c>
      <c r="C16" s="882" t="s">
        <v>138</v>
      </c>
      <c r="D16" s="866">
        <f>'1. T1 INVESTOINTISUUN.'!D17/1000</f>
        <v>0</v>
      </c>
      <c r="E16" s="866">
        <f>'1. T1 INVESTOINTISUUN.'!E17/1000</f>
        <v>0</v>
      </c>
      <c r="F16" s="866">
        <f>'1. T1 INVESTOINTISUUN.'!F17/1000</f>
        <v>0</v>
      </c>
      <c r="G16" s="866">
        <f>'1. T1 INVESTOINTISUUN.'!G17/1000</f>
        <v>0</v>
      </c>
      <c r="H16" s="866">
        <f>SUM(D16:G16)</f>
        <v>0</v>
      </c>
      <c r="I16" s="852">
        <f>'1. T1 INVESTOINTISUUN.'!J17</f>
        <v>0</v>
      </c>
      <c r="J16" s="852"/>
      <c r="K16" s="852"/>
      <c r="L16" s="852"/>
      <c r="M16" s="852"/>
      <c r="N16" s="852"/>
      <c r="O16" s="1384"/>
      <c r="Q16" s="855"/>
      <c r="R16" s="865" t="s">
        <v>621</v>
      </c>
      <c r="S16" s="874"/>
      <c r="T16" s="880">
        <f>'3. T3 TASE '!F39/1000</f>
        <v>0</v>
      </c>
      <c r="U16" s="866">
        <f>'3. T3 TASE '!G39/1000</f>
        <v>0</v>
      </c>
      <c r="V16" s="866">
        <f>'3. T3 TASE '!H39/1000</f>
        <v>0</v>
      </c>
      <c r="W16" s="866">
        <f>'3. T3 TASE '!I39/1000</f>
        <v>0</v>
      </c>
      <c r="X16" s="866">
        <f>'3. T3 TASE '!J39/1000</f>
        <v>0</v>
      </c>
      <c r="Y16" s="866">
        <f>'3. T3 TASE '!K39/1000</f>
        <v>0</v>
      </c>
      <c r="AA16" s="899" t="s">
        <v>567</v>
      </c>
      <c r="AB16" s="900"/>
      <c r="AC16" s="900"/>
      <c r="AD16" s="1089" t="s">
        <v>90</v>
      </c>
      <c r="AE16" s="2045">
        <f>'8. T4 RAHOITUSSUUN. '!F58/1000</f>
        <v>0</v>
      </c>
      <c r="AF16" s="2045"/>
      <c r="AG16" s="2045">
        <f>'8. T4 RAHOITUSSUUN. '!G58/1000</f>
        <v>0</v>
      </c>
      <c r="AH16" s="2045"/>
      <c r="AI16" s="2045">
        <f>'8. T4 RAHOITUSSUUN. '!H58/1000</f>
        <v>0</v>
      </c>
      <c r="AJ16" s="2045"/>
      <c r="AK16" s="2045">
        <f>'8. T4 RAHOITUSSUUN. '!I58/1000</f>
        <v>0</v>
      </c>
      <c r="AL16" s="2045"/>
      <c r="AM16" s="2045">
        <f>'8. T4 RAHOITUSSUUN. '!J58/1000</f>
        <v>0</v>
      </c>
      <c r="AN16" s="2045"/>
      <c r="AO16" s="2045">
        <f>'8. T4 RAHOITUSSUUN. '!K58/1000</f>
        <v>0</v>
      </c>
      <c r="AP16" s="2045"/>
      <c r="AR16" s="1025" t="s">
        <v>301</v>
      </c>
      <c r="AS16" s="136"/>
      <c r="AT16" s="1102"/>
      <c r="AU16" s="1102"/>
      <c r="AV16" s="1102"/>
      <c r="AW16" s="1102"/>
      <c r="AX16" s="1102"/>
      <c r="AY16" s="1103"/>
    </row>
    <row r="17" spans="1:51" ht="11.25" customHeight="1" x14ac:dyDescent="0.2">
      <c r="A17" s="54"/>
      <c r="B17" s="1385"/>
      <c r="C17" s="874" t="s">
        <v>200</v>
      </c>
      <c r="D17" s="867">
        <f>'1. T1 INVESTOINTISUUN.'!D19</f>
        <v>0</v>
      </c>
      <c r="E17" s="867">
        <f>'1. T1 INVESTOINTISUUN.'!E19</f>
        <v>0</v>
      </c>
      <c r="F17" s="867">
        <f>'1. T1 INVESTOINTISUUN.'!F19</f>
        <v>0</v>
      </c>
      <c r="G17" s="867">
        <f>'1. T1 INVESTOINTISUUN.'!G19</f>
        <v>0</v>
      </c>
      <c r="H17" s="868"/>
      <c r="I17" s="852"/>
      <c r="J17" s="852"/>
      <c r="K17" s="852"/>
      <c r="L17" s="852"/>
      <c r="M17" s="852"/>
      <c r="N17" s="852"/>
      <c r="O17" s="1384"/>
      <c r="Q17" s="855"/>
      <c r="R17" s="865" t="s">
        <v>622</v>
      </c>
      <c r="S17" s="874"/>
      <c r="T17" s="880">
        <f>'3. T3 TASE '!F41/1000</f>
        <v>0</v>
      </c>
      <c r="U17" s="866">
        <f>'3. T3 TASE '!G41/1000</f>
        <v>0</v>
      </c>
      <c r="V17" s="866">
        <f>'3. T3 TASE '!H41/1000</f>
        <v>0</v>
      </c>
      <c r="W17" s="866">
        <f>'3. T3 TASE '!I41/1000</f>
        <v>0</v>
      </c>
      <c r="X17" s="866">
        <f>'3. T3 TASE '!J41/1000</f>
        <v>0</v>
      </c>
      <c r="Y17" s="866">
        <f>'3. T3 TASE '!K41/1000</f>
        <v>0</v>
      </c>
      <c r="AA17" s="2123" t="s">
        <v>635</v>
      </c>
      <c r="AB17" s="2123"/>
      <c r="AC17" s="2123"/>
      <c r="AD17" s="2124"/>
      <c r="AE17" s="2044">
        <f>'8. T4 RAHOITUSSUUN. '!F59</f>
        <v>0</v>
      </c>
      <c r="AF17" s="2044"/>
      <c r="AG17" s="2044">
        <f>'8. T4 RAHOITUSSUUN. '!G59</f>
        <v>0</v>
      </c>
      <c r="AH17" s="2044"/>
      <c r="AI17" s="2044">
        <f>'8. T4 RAHOITUSSUUN. '!H59</f>
        <v>0</v>
      </c>
      <c r="AJ17" s="2044"/>
      <c r="AK17" s="2044">
        <f>'8. T4 RAHOITUSSUUN. '!I59</f>
        <v>0</v>
      </c>
      <c r="AL17" s="2044"/>
      <c r="AM17" s="2044">
        <f>'8. T4 RAHOITUSSUUN. '!J59</f>
        <v>0</v>
      </c>
      <c r="AN17" s="2044"/>
      <c r="AO17" s="2044">
        <f>'8. T4 RAHOITUSSUUN. '!K59</f>
        <v>0</v>
      </c>
      <c r="AP17" s="2044"/>
      <c r="AR17" s="903" t="s">
        <v>302</v>
      </c>
      <c r="AS17" s="907"/>
      <c r="AT17" s="1096">
        <f>'8. T4 RAHOITUSSUUN. '!P35</f>
        <v>0</v>
      </c>
      <c r="AU17" s="1096">
        <f>'8. T4 RAHOITUSSUUN. '!Q35</f>
        <v>0</v>
      </c>
      <c r="AV17" s="1096">
        <f>'8. T4 RAHOITUSSUUN. '!R35</f>
        <v>0</v>
      </c>
      <c r="AW17" s="1096">
        <f>'8. T4 RAHOITUSSUUN. '!S35</f>
        <v>0</v>
      </c>
      <c r="AX17" s="1096">
        <f>'8. T4 RAHOITUSSUUN. '!T35</f>
        <v>0</v>
      </c>
      <c r="AY17" s="1096">
        <f>'8. T4 RAHOITUSSUUN. '!U35</f>
        <v>0</v>
      </c>
    </row>
    <row r="18" spans="1:51" ht="11.25" customHeight="1" x14ac:dyDescent="0.2">
      <c r="B18" s="1385" t="s">
        <v>3</v>
      </c>
      <c r="C18" s="874" t="s">
        <v>552</v>
      </c>
      <c r="D18" s="866">
        <f>'1. T1 INVESTOINTISUUN.'!D20/1000</f>
        <v>0</v>
      </c>
      <c r="E18" s="866">
        <f>'1. T1 INVESTOINTISUUN.'!E20/1000</f>
        <v>0</v>
      </c>
      <c r="F18" s="866">
        <f>'1. T1 INVESTOINTISUUN.'!F20/1000</f>
        <v>0</v>
      </c>
      <c r="G18" s="866">
        <f>'1. T1 INVESTOINTISUUN.'!G20/1000</f>
        <v>0</v>
      </c>
      <c r="H18" s="866">
        <f>SUM(D18:G18)</f>
        <v>0</v>
      </c>
      <c r="I18" s="852">
        <f>'1. T1 INVESTOINTISUUN.'!J20</f>
        <v>0</v>
      </c>
      <c r="J18" s="852"/>
      <c r="K18" s="852"/>
      <c r="L18" s="852"/>
      <c r="M18" s="852"/>
      <c r="N18" s="852"/>
      <c r="O18" s="1384"/>
      <c r="Q18" s="855" t="s">
        <v>0</v>
      </c>
      <c r="R18" s="864" t="s">
        <v>212</v>
      </c>
      <c r="S18" s="882"/>
      <c r="T18" s="880">
        <f>'3. T3 TASE '!F42/1000</f>
        <v>0</v>
      </c>
      <c r="U18" s="866">
        <f>'3. T3 TASE '!G42/1000</f>
        <v>0</v>
      </c>
      <c r="V18" s="866">
        <f>'3. T3 TASE '!H42/1000</f>
        <v>0</v>
      </c>
      <c r="W18" s="866">
        <f>'3. T3 TASE '!I42/1000</f>
        <v>0</v>
      </c>
      <c r="X18" s="866">
        <f>'3. T3 TASE '!J42/1000</f>
        <v>0</v>
      </c>
      <c r="Y18" s="866">
        <f>'3. T3 TASE '!K42/1000</f>
        <v>0</v>
      </c>
      <c r="AA18" s="1405" t="s">
        <v>568</v>
      </c>
      <c r="AB18" s="1406"/>
      <c r="AC18" s="1406"/>
      <c r="AD18" s="1407" t="s">
        <v>145</v>
      </c>
      <c r="AE18" s="2045">
        <f>'8. T4 RAHOITUSSUUN. '!F60/1000</f>
        <v>0</v>
      </c>
      <c r="AF18" s="2045"/>
      <c r="AG18" s="2045">
        <f>'8. T4 RAHOITUSSUUN. '!G60/1000</f>
        <v>0</v>
      </c>
      <c r="AH18" s="2045"/>
      <c r="AI18" s="2045">
        <f>'8. T4 RAHOITUSSUUN. '!H60/1000</f>
        <v>0</v>
      </c>
      <c r="AJ18" s="2045"/>
      <c r="AK18" s="2045">
        <f>'8. T4 RAHOITUSSUUN. '!I60/1000</f>
        <v>0</v>
      </c>
      <c r="AL18" s="2045"/>
      <c r="AM18" s="2045">
        <f>'8. T4 RAHOITUSSUUN. '!J60/1000</f>
        <v>0</v>
      </c>
      <c r="AN18" s="2045"/>
      <c r="AO18" s="2045">
        <f>'8. T4 RAHOITUSSUUN. '!K60/1000</f>
        <v>0</v>
      </c>
      <c r="AP18" s="2045"/>
      <c r="AR18" s="425"/>
      <c r="AS18" s="1095" t="s">
        <v>327</v>
      </c>
      <c r="AT18" s="1093">
        <f>'8. T4 RAHOITUSSUUN. '!P36</f>
        <v>0</v>
      </c>
      <c r="AU18" s="1093">
        <f>'8. T4 RAHOITUSSUUN. '!Q36</f>
        <v>0</v>
      </c>
      <c r="AV18" s="1093">
        <f>'8. T4 RAHOITUSSUUN. '!R36</f>
        <v>0</v>
      </c>
      <c r="AW18" s="1093">
        <f>'8. T4 RAHOITUSSUUN. '!S36</f>
        <v>0</v>
      </c>
      <c r="AX18" s="1093">
        <f>'8. T4 RAHOITUSSUUN. '!T36</f>
        <v>0</v>
      </c>
      <c r="AY18" s="1093">
        <f>'8. T4 RAHOITUSSUUN. '!U36</f>
        <v>0</v>
      </c>
    </row>
    <row r="19" spans="1:51" ht="11.25" customHeight="1" x14ac:dyDescent="0.2">
      <c r="B19" s="1385"/>
      <c r="C19" s="874" t="s">
        <v>200</v>
      </c>
      <c r="D19" s="867">
        <f>'1. T1 INVESTOINTISUUN.'!D23</f>
        <v>0</v>
      </c>
      <c r="E19" s="867">
        <f>'1. T1 INVESTOINTISUUN.'!E23</f>
        <v>0</v>
      </c>
      <c r="F19" s="867">
        <f>'1. T1 INVESTOINTISUUN.'!F23</f>
        <v>0</v>
      </c>
      <c r="G19" s="867">
        <f>'1. T1 INVESTOINTISUUN.'!G23</f>
        <v>0</v>
      </c>
      <c r="H19" s="868"/>
      <c r="I19" s="852"/>
      <c r="J19" s="852"/>
      <c r="K19" s="852"/>
      <c r="L19" s="852"/>
      <c r="M19" s="852"/>
      <c r="N19" s="852"/>
      <c r="O19" s="1384"/>
      <c r="R19" s="865" t="s">
        <v>251</v>
      </c>
      <c r="S19" s="874"/>
      <c r="T19" s="866">
        <f>'3. T3 TASE '!F44/1000</f>
        <v>0</v>
      </c>
      <c r="U19" s="866">
        <f>'3. T3 TASE '!G44/1000</f>
        <v>0</v>
      </c>
      <c r="V19" s="866">
        <f>'3. T3 TASE '!H44/1000</f>
        <v>0</v>
      </c>
      <c r="W19" s="866">
        <f>'3. T3 TASE '!I44/1000</f>
        <v>0</v>
      </c>
      <c r="X19" s="866">
        <f>'3. T3 TASE '!J44/1000</f>
        <v>0</v>
      </c>
      <c r="Y19" s="866">
        <f>'3. T3 TASE '!K44/1000</f>
        <v>0</v>
      </c>
      <c r="AA19" s="1405" t="s">
        <v>569</v>
      </c>
      <c r="AB19" s="1406"/>
      <c r="AC19" s="1406"/>
      <c r="AD19" s="1408" t="s">
        <v>96</v>
      </c>
      <c r="AE19" s="2098">
        <v>0</v>
      </c>
      <c r="AF19" s="2099"/>
      <c r="AG19" s="2045">
        <f>'8. T4 RAHOITUSSUUN. '!G61/1000</f>
        <v>0</v>
      </c>
      <c r="AH19" s="2045"/>
      <c r="AI19" s="2045">
        <f>'8. T4 RAHOITUSSUUN. '!H61/1000</f>
        <v>0</v>
      </c>
      <c r="AJ19" s="2045"/>
      <c r="AK19" s="2045">
        <f>'8. T4 RAHOITUSSUUN. '!I61/1000</f>
        <v>0</v>
      </c>
      <c r="AL19" s="2045"/>
      <c r="AM19" s="2045">
        <f>'8. T4 RAHOITUSSUUN. '!J61/1000</f>
        <v>0</v>
      </c>
      <c r="AN19" s="2045"/>
      <c r="AO19" s="2045">
        <f>'8. T4 RAHOITUSSUUN. '!K61/1000</f>
        <v>0</v>
      </c>
      <c r="AP19" s="2045"/>
      <c r="AR19" s="903" t="str">
        <f>'8. T4 RAHOITUSSUUN. '!M37</f>
        <v xml:space="preserve"> Net Gearing (nettovelkaantumisaste)</v>
      </c>
      <c r="AS19" s="907"/>
      <c r="AT19" s="1097">
        <f>'8. T4 RAHOITUSSUUN. '!P37</f>
        <v>0</v>
      </c>
      <c r="AU19" s="1097">
        <f>'8. T4 RAHOITUSSUUN. '!Q37</f>
        <v>0</v>
      </c>
      <c r="AV19" s="1097">
        <f>'8. T4 RAHOITUSSUUN. '!R37</f>
        <v>0</v>
      </c>
      <c r="AW19" s="1097">
        <f>'8. T4 RAHOITUSSUUN. '!S37</f>
        <v>0</v>
      </c>
      <c r="AX19" s="1097">
        <f>'8. T4 RAHOITUSSUUN. '!T37</f>
        <v>0</v>
      </c>
      <c r="AY19" s="1097">
        <f>'8. T4 RAHOITUSSUUN. '!U37</f>
        <v>0</v>
      </c>
    </row>
    <row r="20" spans="1:51" ht="11.25" customHeight="1" x14ac:dyDescent="0.2">
      <c r="B20" s="1385" t="s">
        <v>4</v>
      </c>
      <c r="C20" s="874" t="s">
        <v>551</v>
      </c>
      <c r="D20" s="866">
        <f>'1. T1 INVESTOINTISUUN.'!D24/1000</f>
        <v>0</v>
      </c>
      <c r="E20" s="866">
        <f>'1. T1 INVESTOINTISUUN.'!E24/1000</f>
        <v>0</v>
      </c>
      <c r="F20" s="866">
        <f>'1. T1 INVESTOINTISUUN.'!F24/1000</f>
        <v>0</v>
      </c>
      <c r="G20" s="866">
        <f>'1. T1 INVESTOINTISUUN.'!G24/1000</f>
        <v>0</v>
      </c>
      <c r="H20" s="866">
        <f>SUM(D20:G20)</f>
        <v>0</v>
      </c>
      <c r="I20" s="852">
        <f>'1. T1 INVESTOINTISUUN.'!J24</f>
        <v>0</v>
      </c>
      <c r="J20" s="852"/>
      <c r="K20" s="852"/>
      <c r="L20" s="852"/>
      <c r="M20" s="852"/>
      <c r="N20" s="852"/>
      <c r="O20" s="1384"/>
      <c r="Q20" s="855"/>
      <c r="R20" s="865" t="s">
        <v>309</v>
      </c>
      <c r="S20" s="874"/>
      <c r="T20" s="866">
        <f>'3. T3 TASE '!F46/1000</f>
        <v>0</v>
      </c>
      <c r="U20" s="866">
        <f>'3. T3 TASE '!G46/1000</f>
        <v>0</v>
      </c>
      <c r="V20" s="866">
        <f>'3. T3 TASE '!H46/1000</f>
        <v>0</v>
      </c>
      <c r="W20" s="866">
        <f>'3. T3 TASE '!I46/1000</f>
        <v>0</v>
      </c>
      <c r="X20" s="866">
        <f>'3. T3 TASE '!J46/1000</f>
        <v>0</v>
      </c>
      <c r="Y20" s="866">
        <f>'3. T3 TASE '!K46/1000</f>
        <v>0</v>
      </c>
      <c r="AR20" s="425"/>
      <c r="AS20" s="1129" t="s">
        <v>327</v>
      </c>
      <c r="AT20" s="1130" t="str">
        <f>'8. T4 RAHOITUSSUUN. '!P38</f>
        <v/>
      </c>
      <c r="AU20" s="1130" t="str">
        <f>'8. T4 RAHOITUSSUUN. '!Q38</f>
        <v/>
      </c>
      <c r="AV20" s="1130" t="str">
        <f>'8. T4 RAHOITUSSUUN. '!R38</f>
        <v/>
      </c>
      <c r="AW20" s="1130" t="str">
        <f>'8. T4 RAHOITUSSUUN. '!S38</f>
        <v/>
      </c>
      <c r="AX20" s="1130" t="str">
        <f>'8. T4 RAHOITUSSUUN. '!T38</f>
        <v/>
      </c>
      <c r="AY20" s="1130" t="str">
        <f>'8. T4 RAHOITUSSUUN. '!U38</f>
        <v/>
      </c>
    </row>
    <row r="21" spans="1:51" ht="11.25" customHeight="1" x14ac:dyDescent="0.2">
      <c r="B21" s="1385" t="s">
        <v>5</v>
      </c>
      <c r="C21" s="874" t="s">
        <v>731</v>
      </c>
      <c r="D21" s="866">
        <f>'1. T1 INVESTOINTISUUN.'!D27/1000</f>
        <v>0</v>
      </c>
      <c r="E21" s="866">
        <f>'1. T1 INVESTOINTISUUN.'!E27/1000</f>
        <v>0</v>
      </c>
      <c r="F21" s="866">
        <f>'1. T1 INVESTOINTISUUN.'!F27/1000</f>
        <v>0</v>
      </c>
      <c r="G21" s="866">
        <f>'1. T1 INVESTOINTISUUN.'!G27/1000</f>
        <v>0</v>
      </c>
      <c r="H21" s="866">
        <f>SUM(D21:G21)</f>
        <v>0</v>
      </c>
      <c r="I21" s="852">
        <f>'1. T1 INVESTOINTISUUN.'!J27</f>
        <v>0</v>
      </c>
      <c r="J21" s="852"/>
      <c r="K21" s="852"/>
      <c r="L21" s="852"/>
      <c r="M21" s="852"/>
      <c r="N21" s="852"/>
      <c r="O21" s="1384"/>
      <c r="Q21" s="855" t="s">
        <v>0</v>
      </c>
      <c r="R21" s="864" t="s">
        <v>310</v>
      </c>
      <c r="S21" s="882"/>
      <c r="T21" s="880">
        <f>'3. T3 TASE '!F47/1000</f>
        <v>0</v>
      </c>
      <c r="U21" s="866">
        <f>'3. T3 TASE '!G47/1000</f>
        <v>0</v>
      </c>
      <c r="V21" s="866">
        <f>'3. T3 TASE '!H47/1000</f>
        <v>0</v>
      </c>
      <c r="W21" s="866">
        <f>'3. T3 TASE '!I47/1000</f>
        <v>0</v>
      </c>
      <c r="X21" s="866">
        <f>'3. T3 TASE '!J47/1000</f>
        <v>0</v>
      </c>
      <c r="Y21" s="866">
        <f>'3. T3 TASE '!K47/1000</f>
        <v>0</v>
      </c>
    </row>
    <row r="22" spans="1:51" ht="11.25" customHeight="1" x14ac:dyDescent="0.2">
      <c r="B22" s="1385"/>
      <c r="C22" s="874" t="s">
        <v>200</v>
      </c>
      <c r="D22" s="867">
        <f>'1. T1 INVESTOINTISUUN.'!D29</f>
        <v>0</v>
      </c>
      <c r="E22" s="867">
        <f>'1. T1 INVESTOINTISUUN.'!E29</f>
        <v>0</v>
      </c>
      <c r="F22" s="867">
        <f>'1. T1 INVESTOINTISUUN.'!F29</f>
        <v>0</v>
      </c>
      <c r="G22" s="867">
        <f>'1. T1 INVESTOINTISUUN.'!G29</f>
        <v>0</v>
      </c>
      <c r="H22" s="868"/>
      <c r="I22" s="852"/>
      <c r="J22" s="852"/>
      <c r="K22" s="852"/>
      <c r="L22" s="852"/>
      <c r="M22" s="852"/>
      <c r="N22" s="852"/>
      <c r="O22" s="1384"/>
      <c r="Q22" s="855"/>
      <c r="R22" s="865" t="s">
        <v>623</v>
      </c>
      <c r="S22" s="874"/>
      <c r="T22" s="880">
        <f>'3. T3 TASE '!F48/1000</f>
        <v>0</v>
      </c>
      <c r="U22" s="866">
        <f>'3. T3 TASE '!G48/1000</f>
        <v>0</v>
      </c>
      <c r="V22" s="866">
        <f>'3. T3 TASE '!H48/1000</f>
        <v>0</v>
      </c>
      <c r="W22" s="866">
        <f>'3. T3 TASE '!I48/1000</f>
        <v>0</v>
      </c>
      <c r="X22" s="866">
        <f>'3. T3 TASE '!J48/1000</f>
        <v>0</v>
      </c>
      <c r="Y22" s="866">
        <f>'3. T3 TASE '!K48/1000</f>
        <v>0</v>
      </c>
    </row>
    <row r="23" spans="1:51" ht="11.25" customHeight="1" x14ac:dyDescent="0.2">
      <c r="B23" s="1385" t="s">
        <v>6</v>
      </c>
      <c r="C23" s="874" t="s">
        <v>550</v>
      </c>
      <c r="D23" s="866">
        <f>'1. T1 INVESTOINTISUUN.'!D30/1000</f>
        <v>0</v>
      </c>
      <c r="E23" s="866">
        <f>'1. T1 INVESTOINTISUUN.'!E30/1000</f>
        <v>0</v>
      </c>
      <c r="F23" s="866">
        <f>'1. T1 INVESTOINTISUUN.'!F30/1000</f>
        <v>0</v>
      </c>
      <c r="G23" s="866">
        <f>'1. T1 INVESTOINTISUUN.'!G30/1000</f>
        <v>0</v>
      </c>
      <c r="H23" s="866">
        <f>SUM(D23:G23)</f>
        <v>0</v>
      </c>
      <c r="I23" s="852">
        <f>'1. T1 INVESTOINTISUUN.'!J30</f>
        <v>0</v>
      </c>
      <c r="J23" s="852"/>
      <c r="K23" s="852"/>
      <c r="L23" s="852"/>
      <c r="M23" s="852"/>
      <c r="N23" s="852"/>
      <c r="O23" s="1384"/>
      <c r="Q23" s="855"/>
      <c r="R23" s="865" t="s">
        <v>624</v>
      </c>
      <c r="S23" s="874"/>
      <c r="T23" s="916">
        <f>'3. T3 TASE '!F49/1000</f>
        <v>0</v>
      </c>
      <c r="U23" s="917">
        <f>'3. T3 TASE '!G49/1000</f>
        <v>0</v>
      </c>
      <c r="V23" s="917">
        <f>'3. T3 TASE '!H49/1000</f>
        <v>0</v>
      </c>
      <c r="W23" s="917">
        <f>'3. T3 TASE '!I49/1000</f>
        <v>0</v>
      </c>
      <c r="X23" s="917">
        <f>'3. T3 TASE '!J49/1000</f>
        <v>0</v>
      </c>
      <c r="Y23" s="917">
        <f>'3. T3 TASE '!K49/1000</f>
        <v>0</v>
      </c>
      <c r="AA23" s="2101" t="s">
        <v>587</v>
      </c>
      <c r="AB23" s="2101"/>
    </row>
    <row r="24" spans="1:51" ht="11.25" customHeight="1" x14ac:dyDescent="0.2">
      <c r="B24" s="1385" t="s">
        <v>7</v>
      </c>
      <c r="C24" s="874" t="s">
        <v>549</v>
      </c>
      <c r="D24" s="866">
        <f>'1. T1 INVESTOINTISUUN.'!D32/1000</f>
        <v>0</v>
      </c>
      <c r="E24" s="866">
        <f>'1. T1 INVESTOINTISUUN.'!E32/1000</f>
        <v>0</v>
      </c>
      <c r="F24" s="866">
        <f>'1. T1 INVESTOINTISUUN.'!F32/1000</f>
        <v>0</v>
      </c>
      <c r="G24" s="866">
        <f>'1. T1 INVESTOINTISUUN.'!G32/1000</f>
        <v>0</v>
      </c>
      <c r="H24" s="866">
        <f>SUM(D24:G24)</f>
        <v>0</v>
      </c>
      <c r="I24" s="852">
        <f>'1. T1 INVESTOINTISUUN.'!J32</f>
        <v>0</v>
      </c>
      <c r="J24" s="852"/>
      <c r="K24" s="852"/>
      <c r="L24" s="852"/>
      <c r="M24" s="852"/>
      <c r="N24" s="852"/>
      <c r="O24" s="1384"/>
      <c r="Q24" s="2106" t="s">
        <v>246</v>
      </c>
      <c r="R24" s="2107"/>
      <c r="S24" s="2107"/>
      <c r="T24" s="918">
        <f>'3. T3 TASE '!F51/1000</f>
        <v>0</v>
      </c>
      <c r="U24" s="919">
        <f>'3. T3 TASE '!G51/1000</f>
        <v>0</v>
      </c>
      <c r="V24" s="919">
        <f>'3. T3 TASE '!H51/1000</f>
        <v>0</v>
      </c>
      <c r="W24" s="919">
        <f>'3. T3 TASE '!I51/1000</f>
        <v>0</v>
      </c>
      <c r="X24" s="919">
        <f>'3. T3 TASE '!J51/1000</f>
        <v>0</v>
      </c>
      <c r="Y24" s="919">
        <f>'3. T3 TASE '!K51/1000</f>
        <v>0</v>
      </c>
      <c r="AE24" s="2108" t="s">
        <v>122</v>
      </c>
      <c r="AF24" s="2108"/>
      <c r="AG24" s="2108"/>
      <c r="AH24" s="2108"/>
      <c r="AI24" s="2108"/>
      <c r="AJ24" s="2108"/>
      <c r="AK24" s="2108"/>
      <c r="AL24" s="2108"/>
      <c r="AM24" s="2108"/>
      <c r="AN24" s="2108"/>
      <c r="AO24" s="2108"/>
      <c r="AP24" s="2108"/>
    </row>
    <row r="25" spans="1:51" ht="11.25" customHeight="1" x14ac:dyDescent="0.2">
      <c r="B25" s="1385"/>
      <c r="C25" s="874" t="s">
        <v>200</v>
      </c>
      <c r="D25" s="867">
        <f>'1. T1 INVESTOINTISUUN.'!D34</f>
        <v>0</v>
      </c>
      <c r="E25" s="867">
        <f>'1. T1 INVESTOINTISUUN.'!E34</f>
        <v>0</v>
      </c>
      <c r="F25" s="867">
        <f>'1. T1 INVESTOINTISUUN.'!F34</f>
        <v>0</v>
      </c>
      <c r="G25" s="867">
        <f>'1. T1 INVESTOINTISUUN.'!G34</f>
        <v>0</v>
      </c>
      <c r="H25" s="868"/>
      <c r="I25" s="852"/>
      <c r="J25" s="852"/>
      <c r="K25" s="852"/>
      <c r="L25" s="852"/>
      <c r="M25" s="852"/>
      <c r="N25" s="852"/>
      <c r="O25" s="1384"/>
      <c r="Q25" s="555"/>
      <c r="R25" s="555"/>
      <c r="S25" s="555"/>
      <c r="T25" s="878"/>
      <c r="U25" s="878">
        <f>T25</f>
        <v>0</v>
      </c>
      <c r="V25" s="878"/>
      <c r="W25" s="878"/>
      <c r="X25" s="878"/>
      <c r="Y25" s="878"/>
      <c r="AA25" s="2187" t="s">
        <v>396</v>
      </c>
      <c r="AB25" s="2133" t="s">
        <v>616</v>
      </c>
      <c r="AC25" s="2134" t="s">
        <v>614</v>
      </c>
      <c r="AD25" s="2135" t="str">
        <f>'4. T7 LAINAT '!E7</f>
        <v>Korko-%</v>
      </c>
      <c r="AE25" s="2108"/>
      <c r="AF25" s="2108"/>
      <c r="AG25" s="2108"/>
      <c r="AH25" s="2108"/>
      <c r="AI25" s="2108"/>
      <c r="AJ25" s="2108"/>
      <c r="AK25" s="2108"/>
      <c r="AL25" s="2108"/>
      <c r="AM25" s="2108"/>
      <c r="AN25" s="2108"/>
      <c r="AO25" s="2108"/>
      <c r="AP25" s="2108"/>
    </row>
    <row r="26" spans="1:51" ht="11.25" customHeight="1" x14ac:dyDescent="0.2">
      <c r="B26" s="1385" t="s">
        <v>8</v>
      </c>
      <c r="C26" s="874" t="s">
        <v>548</v>
      </c>
      <c r="D26" s="866">
        <f>'1. T1 INVESTOINTISUUN.'!D35/1000</f>
        <v>0</v>
      </c>
      <c r="E26" s="866">
        <f>'1. T1 INVESTOINTISUUN.'!E35/1000</f>
        <v>0</v>
      </c>
      <c r="F26" s="866">
        <f>'1. T1 INVESTOINTISUUN.'!F35/1000</f>
        <v>0</v>
      </c>
      <c r="G26" s="866">
        <f>'1. T1 INVESTOINTISUUN.'!G35/1000</f>
        <v>0</v>
      </c>
      <c r="H26" s="866">
        <f>SUM(D26:G26)</f>
        <v>0</v>
      </c>
      <c r="I26" s="852">
        <f>'1. T1 INVESTOINTISUUN.'!J35</f>
        <v>0</v>
      </c>
      <c r="J26" s="852"/>
      <c r="K26" s="852"/>
      <c r="L26" s="852"/>
      <c r="M26" s="852"/>
      <c r="N26" s="852"/>
      <c r="O26" s="1384"/>
      <c r="Q26" s="2087" t="s">
        <v>589</v>
      </c>
      <c r="R26" s="2087"/>
      <c r="S26" s="2087"/>
      <c r="T26" s="1363" t="str">
        <f t="shared" ref="T26:Y27" si="0">T5</f>
        <v>Tot. tilikausi</v>
      </c>
      <c r="U26" s="1363" t="str">
        <f t="shared" si="0"/>
        <v>Tot. tilikausi</v>
      </c>
      <c r="V26" s="1363" t="str">
        <f t="shared" si="0"/>
        <v>Ennuste 1</v>
      </c>
      <c r="W26" s="1363" t="str">
        <f t="shared" si="0"/>
        <v>Ennuste 2</v>
      </c>
      <c r="X26" s="1363" t="str">
        <f t="shared" si="0"/>
        <v>Ennuste 3</v>
      </c>
      <c r="Y26" s="1363" t="str">
        <f t="shared" si="0"/>
        <v>Ennuste 4</v>
      </c>
      <c r="AA26" s="2187"/>
      <c r="AB26" s="2133"/>
      <c r="AC26" s="2134"/>
      <c r="AD26" s="2135"/>
      <c r="AE26" s="1822" t="str">
        <f>'4. T7 LAINAT '!F8</f>
        <v>Ennuste  1</v>
      </c>
      <c r="AF26" s="1822"/>
      <c r="AG26" s="1822"/>
      <c r="AH26" s="2046" t="str">
        <f>'4. T7 LAINAT '!I8</f>
        <v>Ennuste 2</v>
      </c>
      <c r="AI26" s="1822"/>
      <c r="AJ26" s="2047"/>
      <c r="AK26" s="1822" t="str">
        <f>'4. T7 LAINAT '!L8</f>
        <v>Ennuste 3</v>
      </c>
      <c r="AL26" s="1822"/>
      <c r="AM26" s="1822"/>
      <c r="AN26" s="2046" t="str">
        <f>'4. T7 LAINAT '!O8</f>
        <v>Ennuste 4</v>
      </c>
      <c r="AO26" s="1822"/>
      <c r="AP26" s="2047"/>
    </row>
    <row r="27" spans="1:51" ht="11.25" customHeight="1" x14ac:dyDescent="0.2">
      <c r="B27" s="1385"/>
      <c r="C27" s="874" t="s">
        <v>200</v>
      </c>
      <c r="D27" s="867">
        <f>'1. T1 INVESTOINTISUUN.'!D37</f>
        <v>0</v>
      </c>
      <c r="E27" s="867">
        <f>'1. T1 INVESTOINTISUUN.'!E37</f>
        <v>0</v>
      </c>
      <c r="F27" s="867">
        <f>'1. T1 INVESTOINTISUUN.'!F37</f>
        <v>0</v>
      </c>
      <c r="G27" s="867">
        <f>'1. T1 INVESTOINTISUUN.'!G37</f>
        <v>0</v>
      </c>
      <c r="H27" s="868"/>
      <c r="I27" s="852"/>
      <c r="J27" s="852"/>
      <c r="K27" s="852"/>
      <c r="L27" s="852"/>
      <c r="M27" s="852"/>
      <c r="N27" s="852"/>
      <c r="O27" s="1384"/>
      <c r="Q27" s="2087"/>
      <c r="R27" s="2087"/>
      <c r="S27" s="2087"/>
      <c r="T27" s="1369">
        <f t="shared" si="0"/>
        <v>2021</v>
      </c>
      <c r="U27" s="1369">
        <f t="shared" si="0"/>
        <v>2022</v>
      </c>
      <c r="V27" s="1369">
        <f t="shared" si="0"/>
        <v>2024</v>
      </c>
      <c r="W27" s="1369">
        <f t="shared" si="0"/>
        <v>2025</v>
      </c>
      <c r="X27" s="1369">
        <f t="shared" si="0"/>
        <v>2026</v>
      </c>
      <c r="Y27" s="1369">
        <f t="shared" si="0"/>
        <v>2027</v>
      </c>
      <c r="AA27" s="2187"/>
      <c r="AB27" s="2133"/>
      <c r="AC27" s="2134"/>
      <c r="AD27" s="2135"/>
      <c r="AE27" s="1822">
        <f>'4. T7 LAINAT '!F9</f>
        <v>2024</v>
      </c>
      <c r="AF27" s="1822"/>
      <c r="AG27" s="1822"/>
      <c r="AH27" s="2046">
        <f>'4. T7 LAINAT '!I9</f>
        <v>2025</v>
      </c>
      <c r="AI27" s="1822"/>
      <c r="AJ27" s="2047"/>
      <c r="AK27" s="1822">
        <f>'4. T7 LAINAT '!L9</f>
        <v>2026</v>
      </c>
      <c r="AL27" s="1822"/>
      <c r="AM27" s="1822"/>
      <c r="AN27" s="2046">
        <f>'4. T7 LAINAT '!O9</f>
        <v>2027</v>
      </c>
      <c r="AO27" s="1822"/>
      <c r="AP27" s="2047"/>
    </row>
    <row r="28" spans="1:51" ht="11.25" customHeight="1" x14ac:dyDescent="0.2">
      <c r="B28" s="1385" t="s">
        <v>9</v>
      </c>
      <c r="C28" s="874" t="s">
        <v>210</v>
      </c>
      <c r="D28" s="866">
        <f>'1. T1 INVESTOINTISUUN.'!D38/1000</f>
        <v>0</v>
      </c>
      <c r="E28" s="866">
        <f>'1. T1 INVESTOINTISUUN.'!E38/1000</f>
        <v>0</v>
      </c>
      <c r="F28" s="866">
        <f>'1. T1 INVESTOINTISUUN.'!F38/1000</f>
        <v>0</v>
      </c>
      <c r="G28" s="866">
        <f>'1. T1 INVESTOINTISUUN.'!G38/1000</f>
        <v>0</v>
      </c>
      <c r="H28" s="866">
        <f>SUM(D28:G28)</f>
        <v>0</v>
      </c>
      <c r="I28" s="852">
        <f>'1. T1 INVESTOINTISUUN.'!J38</f>
        <v>0</v>
      </c>
      <c r="J28" s="852"/>
      <c r="K28" s="852"/>
      <c r="L28" s="852"/>
      <c r="M28" s="852"/>
      <c r="N28" s="852"/>
      <c r="O28" s="1384"/>
      <c r="Q28" s="878" t="s">
        <v>225</v>
      </c>
      <c r="R28" s="881" t="s">
        <v>217</v>
      </c>
      <c r="S28" s="873"/>
      <c r="T28" s="879">
        <f>'3. T3 TASE '!F56/1000</f>
        <v>0</v>
      </c>
      <c r="U28" s="877">
        <f>'3. T3 TASE '!G56/1000</f>
        <v>0</v>
      </c>
      <c r="V28" s="877">
        <f>'3. T3 TASE '!H56/1000</f>
        <v>0</v>
      </c>
      <c r="W28" s="877">
        <f>'3. T3 TASE '!I56/1000</f>
        <v>0</v>
      </c>
      <c r="X28" s="877">
        <f>'3. T3 TASE '!J56/1000</f>
        <v>0</v>
      </c>
      <c r="Y28" s="877">
        <f>'3. T3 TASE '!K56/1000</f>
        <v>0</v>
      </c>
      <c r="AA28" s="896" t="str">
        <f>'4. T7 LAINAT '!B10</f>
        <v>Luotonantaja</v>
      </c>
      <c r="AB28" s="2133"/>
      <c r="AC28" s="2134"/>
      <c r="AD28" s="2135"/>
      <c r="AE28" s="2041" t="str">
        <f>'4. T7 LAINAT '!F10</f>
        <v>Lyhennys</v>
      </c>
      <c r="AF28" s="2041"/>
      <c r="AG28" s="26" t="str">
        <f>'4. T7 LAINAT '!H10</f>
        <v>Korko</v>
      </c>
      <c r="AH28" s="2040" t="str">
        <f>AE28</f>
        <v>Lyhennys</v>
      </c>
      <c r="AI28" s="2041"/>
      <c r="AJ28" s="1545" t="str">
        <f>'4. T7 LAINAT '!K10</f>
        <v>Korko</v>
      </c>
      <c r="AK28" s="2041" t="str">
        <f>AH28</f>
        <v>Lyhennys</v>
      </c>
      <c r="AL28" s="2041"/>
      <c r="AM28" s="26" t="str">
        <f>'4. T7 LAINAT '!N10</f>
        <v>Korko</v>
      </c>
      <c r="AN28" s="2040" t="str">
        <f>AK28</f>
        <v>Lyhennys</v>
      </c>
      <c r="AO28" s="2041"/>
      <c r="AP28" s="1545" t="str">
        <f>'4. T7 LAINAT '!Q10</f>
        <v>Korko</v>
      </c>
    </row>
    <row r="29" spans="1:51" ht="11.25" customHeight="1" x14ac:dyDescent="0.2">
      <c r="B29" s="1385" t="s">
        <v>10</v>
      </c>
      <c r="C29" s="874" t="s">
        <v>547</v>
      </c>
      <c r="D29" s="866">
        <f>'1. T1 INVESTOINTISUUN.'!D39/1000</f>
        <v>0</v>
      </c>
      <c r="E29" s="866">
        <f>'1. T1 INVESTOINTISUUN.'!E39/1000</f>
        <v>0</v>
      </c>
      <c r="F29" s="866">
        <f>'1. T1 INVESTOINTISUUN.'!F39/1000</f>
        <v>0</v>
      </c>
      <c r="G29" s="866">
        <f>'1. T1 INVESTOINTISUUN.'!G39/1000</f>
        <v>0</v>
      </c>
      <c r="H29" s="866">
        <f>SUM(D29:G29)</f>
        <v>0</v>
      </c>
      <c r="I29" s="852">
        <f>'1. T1 INVESTOINTISUUN.'!J39</f>
        <v>0</v>
      </c>
      <c r="J29" s="852"/>
      <c r="K29" s="852"/>
      <c r="L29" s="852"/>
      <c r="M29" s="852"/>
      <c r="N29" s="852"/>
      <c r="O29" s="1384"/>
      <c r="Q29" s="855">
        <v>0</v>
      </c>
      <c r="R29" s="864" t="s">
        <v>277</v>
      </c>
      <c r="S29" s="882"/>
      <c r="T29" s="880">
        <f>'3. T3 TASE '!F57/1000</f>
        <v>0</v>
      </c>
      <c r="U29" s="866">
        <f>'3. T3 TASE '!G57/1000</f>
        <v>0</v>
      </c>
      <c r="V29" s="866">
        <f>'3. T3 TASE '!H57/1000</f>
        <v>0</v>
      </c>
      <c r="W29" s="866">
        <f>'3. T3 TASE '!I57/1000</f>
        <v>0</v>
      </c>
      <c r="X29" s="866">
        <f>'3. T3 TASE '!J57/1000</f>
        <v>0</v>
      </c>
      <c r="Y29" s="866">
        <f>'3. T3 TASE '!K57/1000</f>
        <v>0</v>
      </c>
      <c r="AA29" s="892" t="str">
        <f>'4. T7 LAINAT '!B11</f>
        <v xml:space="preserve"> Rahoittaja/rahoitettava kohde</v>
      </c>
      <c r="AB29" s="1497">
        <f>'4. T7 LAINAT '!C11/1000</f>
        <v>0</v>
      </c>
      <c r="AC29" s="910">
        <f>'4. T7 LAINAT '!D11</f>
        <v>0</v>
      </c>
      <c r="AD29" s="1498">
        <f>'4. T7 LAINAT '!E11*100</f>
        <v>0</v>
      </c>
      <c r="AE29" s="2038">
        <f>'4. T7 LAINAT '!F11/1000</f>
        <v>0</v>
      </c>
      <c r="AF29" s="2039"/>
      <c r="AG29" s="1469">
        <f>'4. T7 LAINAT '!H11/1000</f>
        <v>0</v>
      </c>
      <c r="AH29" s="2043">
        <f>'4. T7 LAINAT '!I11/1000</f>
        <v>0</v>
      </c>
      <c r="AI29" s="2039"/>
      <c r="AJ29" s="1509">
        <f>'4. T7 LAINAT '!K11/1000</f>
        <v>0</v>
      </c>
      <c r="AK29" s="2038">
        <f>'4. T7 LAINAT '!L11/1000</f>
        <v>0</v>
      </c>
      <c r="AL29" s="2039"/>
      <c r="AM29" s="1469">
        <f>'4. T7 LAINAT '!N11/1000</f>
        <v>0</v>
      </c>
      <c r="AN29" s="2043">
        <f>'4. T7 LAINAT '!O11/1000</f>
        <v>0</v>
      </c>
      <c r="AO29" s="2039"/>
      <c r="AP29" s="1509">
        <f>'4. T7 LAINAT '!Q11/1000</f>
        <v>0</v>
      </c>
    </row>
    <row r="30" spans="1:51" ht="11.25" customHeight="1" x14ac:dyDescent="0.2">
      <c r="B30" s="1386" t="s">
        <v>11</v>
      </c>
      <c r="C30" s="1387" t="s">
        <v>546</v>
      </c>
      <c r="D30" s="1388">
        <f>D16+D18+D20+D21+D23+D24+D29+D26+D28</f>
        <v>0</v>
      </c>
      <c r="E30" s="1388">
        <f>E16+E18+E20+E21+E23+E24+E29+E26+E28</f>
        <v>0</v>
      </c>
      <c r="F30" s="1388">
        <f>F16+F18+F20+F21+F23+F24+F29+F26+F28</f>
        <v>0</v>
      </c>
      <c r="G30" s="1388">
        <f>G16+G18+G20+G21+G23+G24+G29+G26+G28</f>
        <v>0</v>
      </c>
      <c r="H30" s="1388">
        <f>SUM(D30:G30)</f>
        <v>0</v>
      </c>
      <c r="I30" s="1389">
        <f>'1. T1 INVESTOINTISUUN.'!J40</f>
        <v>0</v>
      </c>
      <c r="J30" s="1389"/>
      <c r="K30" s="1389"/>
      <c r="L30" s="1389"/>
      <c r="M30" s="1389"/>
      <c r="N30" s="1389"/>
      <c r="O30" s="1390"/>
      <c r="Q30" s="855">
        <v>0</v>
      </c>
      <c r="R30" s="864" t="s">
        <v>278</v>
      </c>
      <c r="S30" s="882"/>
      <c r="T30" s="880">
        <f>'3. T3 TASE '!F58/1000</f>
        <v>0</v>
      </c>
      <c r="U30" s="866">
        <f>'3. T3 TASE '!G58/1000</f>
        <v>0</v>
      </c>
      <c r="V30" s="866">
        <f>'3. T3 TASE '!H58/1000</f>
        <v>0</v>
      </c>
      <c r="W30" s="866">
        <f>'3. T3 TASE '!I58/1000</f>
        <v>0</v>
      </c>
      <c r="X30" s="866">
        <f>'3. T3 TASE '!J58/1000</f>
        <v>0</v>
      </c>
      <c r="Y30" s="866">
        <f>'3. T3 TASE '!K58/1000</f>
        <v>0</v>
      </c>
      <c r="AA30" s="912">
        <f>'4. T7 LAINAT '!B12</f>
        <v>0</v>
      </c>
      <c r="AB30" s="1497">
        <f>'4. T7 LAINAT '!C12/1000</f>
        <v>0</v>
      </c>
      <c r="AC30" s="910">
        <f>'4. T7 LAINAT '!D12</f>
        <v>0</v>
      </c>
      <c r="AD30" s="1498">
        <f>'4. T7 LAINAT '!E12*100</f>
        <v>0</v>
      </c>
      <c r="AE30" s="2038">
        <f>'4. T7 LAINAT '!F12/1000</f>
        <v>0</v>
      </c>
      <c r="AF30" s="2039"/>
      <c r="AG30" s="1469">
        <f>'4. T7 LAINAT '!H12/1000</f>
        <v>0</v>
      </c>
      <c r="AH30" s="2043">
        <f>'4. T7 LAINAT '!I12/1000</f>
        <v>0</v>
      </c>
      <c r="AI30" s="2039"/>
      <c r="AJ30" s="1509">
        <f>'4. T7 LAINAT '!K12/1000</f>
        <v>0</v>
      </c>
      <c r="AK30" s="2038">
        <f>'4. T7 LAINAT '!L12/1000</f>
        <v>0</v>
      </c>
      <c r="AL30" s="2039"/>
      <c r="AM30" s="1469">
        <f>'4. T7 LAINAT '!N12/1000</f>
        <v>0</v>
      </c>
      <c r="AN30" s="2043">
        <f>'4. T7 LAINAT '!O12/1000</f>
        <v>0</v>
      </c>
      <c r="AO30" s="2039"/>
      <c r="AP30" s="1509">
        <f>'4. T7 LAINAT '!Q12/1000</f>
        <v>0</v>
      </c>
    </row>
    <row r="31" spans="1:51" ht="10.9" customHeight="1" x14ac:dyDescent="0.2">
      <c r="B31" s="550"/>
      <c r="C31" s="425"/>
      <c r="D31" s="425"/>
      <c r="E31" s="425"/>
      <c r="F31" s="425"/>
      <c r="G31" s="425"/>
      <c r="H31" s="552"/>
      <c r="I31" s="134"/>
      <c r="J31" s="134"/>
      <c r="K31" s="134"/>
      <c r="L31" s="134"/>
      <c r="M31" s="134"/>
      <c r="N31" s="134"/>
      <c r="O31" s="134"/>
      <c r="Q31" s="855">
        <v>0</v>
      </c>
      <c r="R31" s="864" t="s">
        <v>308</v>
      </c>
      <c r="S31" s="882"/>
      <c r="T31" s="880">
        <f>'3. T3 TASE '!F59/1000</f>
        <v>0</v>
      </c>
      <c r="U31" s="866">
        <f>'3. T3 TASE '!G59/1000</f>
        <v>0</v>
      </c>
      <c r="V31" s="866">
        <f>'3. T3 TASE '!H59/1000</f>
        <v>0</v>
      </c>
      <c r="W31" s="866">
        <f>'3. T3 TASE '!I59/1000</f>
        <v>0</v>
      </c>
      <c r="X31" s="866">
        <f>'3. T3 TASE '!J59/1000</f>
        <v>0</v>
      </c>
      <c r="Y31" s="866">
        <f>'3. T3 TASE '!K59/1000</f>
        <v>0</v>
      </c>
      <c r="AA31" s="912">
        <f>'4. T7 LAINAT '!B13</f>
        <v>0</v>
      </c>
      <c r="AB31" s="1497">
        <f>'4. T7 LAINAT '!C13/1000</f>
        <v>0</v>
      </c>
      <c r="AC31" s="910">
        <f>'4. T7 LAINAT '!D13</f>
        <v>0</v>
      </c>
      <c r="AD31" s="1498">
        <f>'4. T7 LAINAT '!E13*100</f>
        <v>0</v>
      </c>
      <c r="AE31" s="2038">
        <f>'4. T7 LAINAT '!F13/1000</f>
        <v>0</v>
      </c>
      <c r="AF31" s="2039"/>
      <c r="AG31" s="1469">
        <f>'4. T7 LAINAT '!H13/1000</f>
        <v>0</v>
      </c>
      <c r="AH31" s="2043">
        <f>'4. T7 LAINAT '!I13/1000</f>
        <v>0</v>
      </c>
      <c r="AI31" s="2039"/>
      <c r="AJ31" s="1509">
        <f>'4. T7 LAINAT '!K13/1000</f>
        <v>0</v>
      </c>
      <c r="AK31" s="2038">
        <f>'4. T7 LAINAT '!L13/1000</f>
        <v>0</v>
      </c>
      <c r="AL31" s="2039"/>
      <c r="AM31" s="1469">
        <f>'4. T7 LAINAT '!N13/1000</f>
        <v>0</v>
      </c>
      <c r="AN31" s="2043">
        <f>'4. T7 LAINAT '!O13/1000</f>
        <v>0</v>
      </c>
      <c r="AO31" s="2039"/>
      <c r="AP31" s="1509">
        <f>'4. T7 LAINAT '!Q13/1000</f>
        <v>0</v>
      </c>
    </row>
    <row r="32" spans="1:51" ht="11.25" customHeight="1" x14ac:dyDescent="0.2">
      <c r="B32" s="2084" t="s">
        <v>694</v>
      </c>
      <c r="C32" s="2085"/>
      <c r="D32" s="1382" t="s">
        <v>430</v>
      </c>
      <c r="E32" s="1382" t="s">
        <v>431</v>
      </c>
      <c r="F32" s="1382" t="s">
        <v>432</v>
      </c>
      <c r="G32" s="1382" t="s">
        <v>433</v>
      </c>
      <c r="H32" s="2059" t="s">
        <v>434</v>
      </c>
      <c r="I32" s="2061" t="s">
        <v>528</v>
      </c>
      <c r="J32" s="2061"/>
      <c r="K32" s="2061"/>
      <c r="L32" s="2061"/>
      <c r="M32" s="2061"/>
      <c r="N32" s="2061"/>
      <c r="O32" s="2062"/>
      <c r="Q32" s="855">
        <v>0</v>
      </c>
      <c r="R32" s="889" t="s">
        <v>345</v>
      </c>
      <c r="S32" s="890"/>
      <c r="T32" s="891">
        <f>'3. T3 TASE '!F60/1000</f>
        <v>0</v>
      </c>
      <c r="U32" s="868">
        <f>'3. T3 TASE '!G60/1000</f>
        <v>0</v>
      </c>
      <c r="V32" s="868">
        <f>'3. T3 TASE '!H60/1000</f>
        <v>0</v>
      </c>
      <c r="W32" s="868">
        <f>'3. T3 TASE '!I60/1000</f>
        <v>0</v>
      </c>
      <c r="X32" s="868">
        <f>'3. T3 TASE '!J60/1000</f>
        <v>0</v>
      </c>
      <c r="Y32" s="868">
        <f>'3. T3 TASE '!K60/1000</f>
        <v>0</v>
      </c>
      <c r="AA32" s="912">
        <f>'4. T7 LAINAT '!B14</f>
        <v>0</v>
      </c>
      <c r="AB32" s="1497">
        <f>'4. T7 LAINAT '!C14/1000</f>
        <v>0</v>
      </c>
      <c r="AC32" s="910">
        <f>'4. T7 LAINAT '!D14</f>
        <v>0</v>
      </c>
      <c r="AD32" s="1498">
        <f>'4. T7 LAINAT '!E14*100</f>
        <v>0</v>
      </c>
      <c r="AE32" s="2038">
        <f>'4. T7 LAINAT '!F14/1000</f>
        <v>0</v>
      </c>
      <c r="AF32" s="2039"/>
      <c r="AG32" s="1469">
        <f>'4. T7 LAINAT '!H14/1000</f>
        <v>0</v>
      </c>
      <c r="AH32" s="2043">
        <f>'4. T7 LAINAT '!I14/1000</f>
        <v>0</v>
      </c>
      <c r="AI32" s="2039"/>
      <c r="AJ32" s="1509">
        <f>'4. T7 LAINAT '!K14/1000</f>
        <v>0</v>
      </c>
      <c r="AK32" s="2038">
        <f>'4. T7 LAINAT '!L14/1000</f>
        <v>0</v>
      </c>
      <c r="AL32" s="2039"/>
      <c r="AM32" s="1469">
        <f>'4. T7 LAINAT '!N14/1000</f>
        <v>0</v>
      </c>
      <c r="AN32" s="2043">
        <f>'4. T7 LAINAT '!O14/1000</f>
        <v>0</v>
      </c>
      <c r="AO32" s="2039"/>
      <c r="AP32" s="1509">
        <f>'4. T7 LAINAT '!Q14/1000</f>
        <v>0</v>
      </c>
    </row>
    <row r="33" spans="2:54" ht="11.25" customHeight="1" x14ac:dyDescent="0.2">
      <c r="B33" s="2086"/>
      <c r="C33" s="2087"/>
      <c r="D33" s="1363">
        <f>D15</f>
        <v>2024</v>
      </c>
      <c r="E33" s="1363">
        <f>E15</f>
        <v>2025</v>
      </c>
      <c r="F33" s="1363">
        <f>F15</f>
        <v>2026</v>
      </c>
      <c r="G33" s="1365">
        <f>G15</f>
        <v>2027</v>
      </c>
      <c r="H33" s="2060"/>
      <c r="I33" s="2063"/>
      <c r="J33" s="2063"/>
      <c r="K33" s="2063"/>
      <c r="L33" s="2063"/>
      <c r="M33" s="2063"/>
      <c r="N33" s="2063"/>
      <c r="O33" s="2064"/>
      <c r="Q33" s="855">
        <v>0</v>
      </c>
      <c r="R33" s="864" t="s">
        <v>359</v>
      </c>
      <c r="S33" s="882"/>
      <c r="T33" s="880">
        <f>'3. T3 TASE '!F61/1000</f>
        <v>0</v>
      </c>
      <c r="U33" s="866">
        <f>'3. T3 TASE '!G61/1000</f>
        <v>0</v>
      </c>
      <c r="V33" s="866">
        <f>'3. T3 TASE '!H61/1000</f>
        <v>0</v>
      </c>
      <c r="W33" s="866">
        <f>'3. T3 TASE '!I61/1000</f>
        <v>0</v>
      </c>
      <c r="X33" s="866">
        <f>'3. T3 TASE '!J61/1000</f>
        <v>0</v>
      </c>
      <c r="Y33" s="866">
        <f>'3. T3 TASE '!K61/1000</f>
        <v>0</v>
      </c>
      <c r="AA33" s="912">
        <f>'4. T7 LAINAT '!B15</f>
        <v>0</v>
      </c>
      <c r="AB33" s="1497">
        <f>'4. T7 LAINAT '!C15/1000</f>
        <v>0</v>
      </c>
      <c r="AC33" s="910">
        <f>'4. T7 LAINAT '!D15</f>
        <v>0</v>
      </c>
      <c r="AD33" s="1498">
        <f>'4. T7 LAINAT '!E15*100</f>
        <v>0</v>
      </c>
      <c r="AE33" s="2038">
        <f>'4. T7 LAINAT '!F15/1000</f>
        <v>0</v>
      </c>
      <c r="AF33" s="2039"/>
      <c r="AG33" s="1469">
        <f>'4. T7 LAINAT '!H15/1000</f>
        <v>0</v>
      </c>
      <c r="AH33" s="2043">
        <f>'4. T7 LAINAT '!I15/1000</f>
        <v>0</v>
      </c>
      <c r="AI33" s="2039"/>
      <c r="AJ33" s="1509">
        <f>'4. T7 LAINAT '!K15/1000</f>
        <v>0</v>
      </c>
      <c r="AK33" s="2038">
        <f>'4. T7 LAINAT '!L15/1000</f>
        <v>0</v>
      </c>
      <c r="AL33" s="2039"/>
      <c r="AM33" s="1469">
        <f>'4. T7 LAINAT '!N15/1000</f>
        <v>0</v>
      </c>
      <c r="AN33" s="2043">
        <f>'4. T7 LAINAT '!O15/1000</f>
        <v>0</v>
      </c>
      <c r="AO33" s="2039"/>
      <c r="AP33" s="1509">
        <f>'4. T7 LAINAT '!Q15/1000</f>
        <v>0</v>
      </c>
    </row>
    <row r="34" spans="2:54" ht="11.25" customHeight="1" x14ac:dyDescent="0.2">
      <c r="B34" s="2148" t="s">
        <v>181</v>
      </c>
      <c r="C34" s="2066"/>
      <c r="D34" s="858"/>
      <c r="E34" s="858"/>
      <c r="F34" s="858"/>
      <c r="G34" s="858"/>
      <c r="H34" s="859" t="s">
        <v>0</v>
      </c>
      <c r="I34" s="852"/>
      <c r="J34" s="852"/>
      <c r="K34" s="852"/>
      <c r="L34" s="852"/>
      <c r="M34" s="852"/>
      <c r="N34" s="852"/>
      <c r="O34" s="1384"/>
      <c r="Q34" s="878" t="s">
        <v>227</v>
      </c>
      <c r="R34" s="881" t="s">
        <v>222</v>
      </c>
      <c r="S34" s="873"/>
      <c r="T34" s="879">
        <f>'3. T3 TASE '!F62/1000</f>
        <v>0</v>
      </c>
      <c r="U34" s="877">
        <f>'3. T3 TASE '!G62/1000</f>
        <v>0</v>
      </c>
      <c r="V34" s="877">
        <f>'3. T3 TASE '!H62/1000</f>
        <v>0</v>
      </c>
      <c r="W34" s="877">
        <f>'3. T3 TASE '!I62/1000</f>
        <v>0</v>
      </c>
      <c r="X34" s="877">
        <f>'3. T3 TASE '!J62/1000</f>
        <v>0</v>
      </c>
      <c r="Y34" s="877">
        <f>'3. T3 TASE '!K62/1000</f>
        <v>0</v>
      </c>
      <c r="AA34" s="912">
        <f>'4. T7 LAINAT '!B16</f>
        <v>0</v>
      </c>
      <c r="AB34" s="1497">
        <f>'4. T7 LAINAT '!C16/1000</f>
        <v>0</v>
      </c>
      <c r="AC34" s="910">
        <f>'4. T7 LAINAT '!D16</f>
        <v>0</v>
      </c>
      <c r="AD34" s="1498">
        <f>'4. T7 LAINAT '!E16*100</f>
        <v>0</v>
      </c>
      <c r="AE34" s="2038">
        <f>'4. T7 LAINAT '!F16/1000</f>
        <v>0</v>
      </c>
      <c r="AF34" s="2039"/>
      <c r="AG34" s="1469">
        <f>'4. T7 LAINAT '!H16/1000</f>
        <v>0</v>
      </c>
      <c r="AH34" s="2043">
        <f>'4. T7 LAINAT '!I16/1000</f>
        <v>0</v>
      </c>
      <c r="AI34" s="2039"/>
      <c r="AJ34" s="1509">
        <f>'4. T7 LAINAT '!K16/1000</f>
        <v>0</v>
      </c>
      <c r="AK34" s="2038">
        <f>'4. T7 LAINAT '!L16/1000</f>
        <v>0</v>
      </c>
      <c r="AL34" s="2039"/>
      <c r="AM34" s="1469">
        <f>'4. T7 LAINAT '!N16/1000</f>
        <v>0</v>
      </c>
      <c r="AN34" s="2043">
        <f>'4. T7 LAINAT '!O16/1000</f>
        <v>0</v>
      </c>
      <c r="AO34" s="2039"/>
      <c r="AP34" s="1509">
        <f>'4. T7 LAINAT '!Q16/1000</f>
        <v>0</v>
      </c>
    </row>
    <row r="35" spans="2:54" ht="11.25" customHeight="1" thickBot="1" x14ac:dyDescent="0.25">
      <c r="B35" s="1391" t="s">
        <v>170</v>
      </c>
      <c r="C35" s="860" t="s">
        <v>545</v>
      </c>
      <c r="D35" s="856"/>
      <c r="E35" s="856"/>
      <c r="F35" s="856"/>
      <c r="G35" s="856"/>
      <c r="H35" s="857"/>
      <c r="I35" s="852"/>
      <c r="J35" s="852"/>
      <c r="K35" s="852"/>
      <c r="L35" s="852"/>
      <c r="M35" s="852"/>
      <c r="N35" s="852"/>
      <c r="O35" s="1384"/>
      <c r="Q35" s="878" t="s">
        <v>239</v>
      </c>
      <c r="R35" s="883" t="s">
        <v>226</v>
      </c>
      <c r="S35" s="875"/>
      <c r="T35" s="879">
        <f>'3. T3 TASE '!F66/1000</f>
        <v>0</v>
      </c>
      <c r="U35" s="877">
        <f>'3. T3 TASE '!G66/1000</f>
        <v>0</v>
      </c>
      <c r="V35" s="877">
        <f>'3. T3 TASE '!H66/1000</f>
        <v>0</v>
      </c>
      <c r="W35" s="877">
        <f>'3. T3 TASE '!I66/1000</f>
        <v>0</v>
      </c>
      <c r="X35" s="877">
        <f>'3. T3 TASE '!J66/1000</f>
        <v>0</v>
      </c>
      <c r="Y35" s="877">
        <f>'3. T3 TASE '!K66/1000</f>
        <v>0</v>
      </c>
      <c r="AA35" s="1537" t="str">
        <f>'4. T7 LAINAT '!B17</f>
        <v xml:space="preserve"> Luotollinen tili</v>
      </c>
      <c r="AB35" s="1499">
        <f>'4. T7 LAINAT '!C17/1000</f>
        <v>0</v>
      </c>
      <c r="AC35" s="1254">
        <f>'4. T7 LAINAT '!D17</f>
        <v>0</v>
      </c>
      <c r="AD35" s="1500">
        <f>'4. T7 LAINAT '!E17*100</f>
        <v>0</v>
      </c>
      <c r="AE35" s="2189">
        <f>'4. T7 LAINAT '!F17/1000</f>
        <v>0</v>
      </c>
      <c r="AF35" s="2190"/>
      <c r="AG35" s="1502">
        <f>'4. T7 LAINAT '!H17/1000</f>
        <v>0</v>
      </c>
      <c r="AH35" s="2191">
        <f>'4. T7 LAINAT '!I17/1000</f>
        <v>0</v>
      </c>
      <c r="AI35" s="2190"/>
      <c r="AJ35" s="1510">
        <f>'4. T7 LAINAT '!K17/1000</f>
        <v>0</v>
      </c>
      <c r="AK35" s="2189">
        <f>'4. T7 LAINAT '!L17/1000</f>
        <v>0</v>
      </c>
      <c r="AL35" s="2190"/>
      <c r="AM35" s="1502">
        <f>'4. T7 LAINAT '!N17/1000</f>
        <v>0</v>
      </c>
      <c r="AN35" s="2191">
        <f>'4. T7 LAINAT '!O17/1000</f>
        <v>0</v>
      </c>
      <c r="AO35" s="2190"/>
      <c r="AP35" s="1510">
        <f>'4. T7 LAINAT '!Q17/1000</f>
        <v>0</v>
      </c>
    </row>
    <row r="36" spans="2:54" ht="11.25" customHeight="1" thickTop="1" x14ac:dyDescent="0.2">
      <c r="B36" s="1392"/>
      <c r="C36" s="863" t="s">
        <v>544</v>
      </c>
      <c r="D36" s="853">
        <f>'1. T1 INVESTOINTISUUN.'!D46/1000</f>
        <v>0</v>
      </c>
      <c r="E36" s="853">
        <f>'1. T1 INVESTOINTISUUN.'!E46/1000</f>
        <v>0</v>
      </c>
      <c r="F36" s="853">
        <f>'1. T1 INVESTOINTISUUN.'!F46/1000</f>
        <v>0</v>
      </c>
      <c r="G36" s="853">
        <f>'1. T1 INVESTOINTISUUN.'!G46/1000</f>
        <v>0</v>
      </c>
      <c r="H36" s="853">
        <f>'1. T1 INVESTOINTISUUN.'!H46/1000</f>
        <v>0</v>
      </c>
      <c r="I36" s="852"/>
      <c r="J36" s="852"/>
      <c r="K36" s="852"/>
      <c r="L36" s="852"/>
      <c r="M36" s="852"/>
      <c r="N36" s="852"/>
      <c r="O36" s="1384"/>
      <c r="Q36" s="878" t="s">
        <v>339</v>
      </c>
      <c r="R36" s="883" t="s">
        <v>238</v>
      </c>
      <c r="S36" s="875"/>
      <c r="T36" s="879">
        <f>'3. T3 TASE '!F67/1000</f>
        <v>0</v>
      </c>
      <c r="U36" s="877">
        <f>'3. T3 TASE '!G67/1000</f>
        <v>0</v>
      </c>
      <c r="V36" s="877">
        <f>'3. T3 TASE '!H67/1000</f>
        <v>0</v>
      </c>
      <c r="W36" s="877">
        <f>'3. T3 TASE '!I67/1000</f>
        <v>0</v>
      </c>
      <c r="X36" s="877">
        <f>'3. T3 TASE '!J67/1000</f>
        <v>0</v>
      </c>
      <c r="Y36" s="877">
        <f>'3. T3 TASE '!K67/1000</f>
        <v>0</v>
      </c>
      <c r="AA36" s="881" t="str">
        <f>'4. T7 LAINAT '!B18</f>
        <v>Nykyiset lainat yhteensä</v>
      </c>
      <c r="AB36" s="1543">
        <f>'4. T7 LAINAT '!C18/1000</f>
        <v>0</v>
      </c>
      <c r="AC36" s="1531">
        <v>0</v>
      </c>
      <c r="AD36" s="1544">
        <v>0</v>
      </c>
      <c r="AE36" s="2109">
        <f>SUM(AE29:AF35)</f>
        <v>0</v>
      </c>
      <c r="AF36" s="2110"/>
      <c r="AG36" s="1504">
        <f>SUM(AG29:AG35)</f>
        <v>0</v>
      </c>
      <c r="AH36" s="2188">
        <f>SUM(AH29:AI35)</f>
        <v>0</v>
      </c>
      <c r="AI36" s="2110"/>
      <c r="AJ36" s="1513">
        <f>SUM(AJ29:AJ35)</f>
        <v>0</v>
      </c>
      <c r="AK36" s="2109">
        <f>SUM(AK29:AL35)</f>
        <v>0</v>
      </c>
      <c r="AL36" s="2110"/>
      <c r="AM36" s="1504">
        <f>SUM(AM29:AM35)</f>
        <v>0</v>
      </c>
      <c r="AN36" s="2188">
        <f>SUM(AN29:AO35)</f>
        <v>0</v>
      </c>
      <c r="AO36" s="2110"/>
      <c r="AP36" s="1513">
        <f>SUM(AP29:AP35)</f>
        <v>0</v>
      </c>
    </row>
    <row r="37" spans="2:54" ht="11.25" customHeight="1" x14ac:dyDescent="0.2">
      <c r="B37" s="1393"/>
      <c r="C37" s="861" t="s">
        <v>543</v>
      </c>
      <c r="D37" s="853">
        <f>'1. T1 INVESTOINTISUUN.'!D47/1000</f>
        <v>0</v>
      </c>
      <c r="E37" s="853">
        <f>'1. T1 INVESTOINTISUUN.'!E47/1000</f>
        <v>0</v>
      </c>
      <c r="F37" s="853">
        <f>'1. T1 INVESTOINTISUUN.'!F47/1000</f>
        <v>0</v>
      </c>
      <c r="G37" s="853">
        <f>'1. T1 INVESTOINTISUUN.'!G47/1000</f>
        <v>0</v>
      </c>
      <c r="H37" s="853">
        <f>'1. T1 INVESTOINTISUUN.'!H47/1000</f>
        <v>0</v>
      </c>
      <c r="I37" s="852"/>
      <c r="J37" s="852"/>
      <c r="K37" s="852"/>
      <c r="L37" s="852"/>
      <c r="M37" s="852"/>
      <c r="N37" s="852"/>
      <c r="O37" s="1384"/>
      <c r="Q37" s="855" t="s">
        <v>0</v>
      </c>
      <c r="R37" s="865" t="s">
        <v>228</v>
      </c>
      <c r="S37" s="874"/>
      <c r="T37" s="880">
        <f>'3. T3 TASE '!F68/1000</f>
        <v>0</v>
      </c>
      <c r="U37" s="866">
        <f>'3. T3 TASE '!G68/1000</f>
        <v>0</v>
      </c>
      <c r="V37" s="866">
        <f>'3. T3 TASE '!H68/1000</f>
        <v>0</v>
      </c>
      <c r="W37" s="866">
        <f>'3. T3 TASE '!I68/1000</f>
        <v>0</v>
      </c>
      <c r="X37" s="866">
        <f>'3. T3 TASE '!J68/1000</f>
        <v>0</v>
      </c>
      <c r="Y37" s="866">
        <f>'3. T3 TASE '!K68/1000</f>
        <v>0</v>
      </c>
      <c r="AA37" s="134"/>
      <c r="AB37" s="265"/>
      <c r="AC37" s="265"/>
      <c r="AD37" s="265"/>
      <c r="AE37" s="265"/>
      <c r="AF37" s="265"/>
      <c r="AG37" s="265"/>
      <c r="AH37" s="265"/>
      <c r="AI37" s="265"/>
      <c r="AJ37" s="265"/>
      <c r="AK37" s="265"/>
      <c r="AL37" s="265"/>
      <c r="AM37" s="265"/>
      <c r="AN37" s="265"/>
      <c r="AO37" s="265"/>
      <c r="AP37" s="265"/>
    </row>
    <row r="38" spans="2:54" ht="11.25" customHeight="1" x14ac:dyDescent="0.2">
      <c r="B38" s="1392" t="s">
        <v>171</v>
      </c>
      <c r="C38" s="862" t="s">
        <v>542</v>
      </c>
      <c r="D38" s="853">
        <f>'1. T1 INVESTOINTISUUN.'!D48/1000</f>
        <v>0</v>
      </c>
      <c r="E38" s="853">
        <f>'1. T1 INVESTOINTISUUN.'!E48/1000</f>
        <v>0</v>
      </c>
      <c r="F38" s="853">
        <f>'1. T1 INVESTOINTISUUN.'!F48/1000</f>
        <v>0</v>
      </c>
      <c r="G38" s="853">
        <f>'1. T1 INVESTOINTISUUN.'!G48/1000</f>
        <v>0</v>
      </c>
      <c r="H38" s="853">
        <f>'1. T1 INVESTOINTISUUN.'!H48/1000</f>
        <v>0</v>
      </c>
      <c r="I38" s="852"/>
      <c r="J38" s="852"/>
      <c r="K38" s="852"/>
      <c r="L38" s="852"/>
      <c r="M38" s="852"/>
      <c r="N38" s="852"/>
      <c r="O38" s="1384"/>
      <c r="Q38" s="855" t="s">
        <v>0</v>
      </c>
      <c r="R38" s="912" t="s">
        <v>243</v>
      </c>
      <c r="S38" s="913"/>
      <c r="T38" s="880">
        <f>'3. T3 TASE '!F69/1000</f>
        <v>0</v>
      </c>
      <c r="U38" s="866">
        <f>'3. T3 TASE '!G69/1000</f>
        <v>0</v>
      </c>
      <c r="V38" s="866">
        <f>'3. T3 TASE '!H69/1000</f>
        <v>0</v>
      </c>
      <c r="W38" s="866">
        <f>'3. T3 TASE '!I69/1000</f>
        <v>0</v>
      </c>
      <c r="X38" s="866">
        <f>'3. T3 TASE '!J69/1000</f>
        <v>0</v>
      </c>
      <c r="Y38" s="866">
        <f>'3. T3 TASE '!K69/1000</f>
        <v>0</v>
      </c>
      <c r="AA38" s="893" t="str">
        <f>'4. T7 LAINAT '!B19</f>
        <v>Nykyiset osamaksuvelat</v>
      </c>
      <c r="AB38" s="1546">
        <f>'4. T7 LAINAT '!C19/1000</f>
        <v>0</v>
      </c>
      <c r="AC38" s="1140">
        <f>'4. T7 LAINAT '!D19</f>
        <v>0</v>
      </c>
      <c r="AD38" s="1547">
        <f>'4. T7 LAINAT '!E19*100</f>
        <v>0</v>
      </c>
      <c r="AE38" s="2192">
        <f>'4. T7 LAINAT '!F19/1000</f>
        <v>0</v>
      </c>
      <c r="AF38" s="2131"/>
      <c r="AG38" s="1505">
        <f>'4. T7 LAINAT '!H19/1000</f>
        <v>0</v>
      </c>
      <c r="AH38" s="2130">
        <f>'4. T7 LAINAT '!I19/1000</f>
        <v>0</v>
      </c>
      <c r="AI38" s="2131"/>
      <c r="AJ38" s="1514">
        <f>'4. T7 LAINAT '!K19/1000</f>
        <v>0</v>
      </c>
      <c r="AK38" s="2192">
        <f>'4. T7 LAINAT '!L19/1000</f>
        <v>0</v>
      </c>
      <c r="AL38" s="2131"/>
      <c r="AM38" s="1505">
        <f>'4. T7 LAINAT '!N19/1000</f>
        <v>0</v>
      </c>
      <c r="AN38" s="2130">
        <f>'4. T7 LAINAT '!O19/1000</f>
        <v>0</v>
      </c>
      <c r="AO38" s="2131"/>
      <c r="AP38" s="1514">
        <f>'4. T7 LAINAT '!Q19/1000</f>
        <v>0</v>
      </c>
    </row>
    <row r="39" spans="2:54" ht="11.25" customHeight="1" x14ac:dyDescent="0.2">
      <c r="B39" s="1392" t="s">
        <v>372</v>
      </c>
      <c r="C39" s="862" t="s">
        <v>541</v>
      </c>
      <c r="D39" s="853">
        <f>'1. T1 INVESTOINTISUUN.'!D49/1000</f>
        <v>0</v>
      </c>
      <c r="E39" s="853">
        <f>'1. T1 INVESTOINTISUUN.'!E49/1000</f>
        <v>0</v>
      </c>
      <c r="F39" s="853">
        <f>'1. T1 INVESTOINTISUUN.'!F49/1000</f>
        <v>0</v>
      </c>
      <c r="G39" s="853">
        <f>'1. T1 INVESTOINTISUUN.'!G49/1000</f>
        <v>0</v>
      </c>
      <c r="H39" s="853">
        <f>'1. T1 INVESTOINTISUUN.'!H49/1000</f>
        <v>0</v>
      </c>
      <c r="I39" s="51"/>
      <c r="J39" s="51"/>
      <c r="K39" s="2176" t="s">
        <v>527</v>
      </c>
      <c r="L39" s="1261" t="s">
        <v>570</v>
      </c>
      <c r="M39" s="51"/>
      <c r="N39" s="51"/>
      <c r="O39" s="1394"/>
      <c r="Q39" s="855"/>
      <c r="R39" s="912" t="str">
        <f>'3. T3 TASE '!C70</f>
        <v xml:space="preserve">    - pääomalainen akordi</v>
      </c>
      <c r="S39" s="913"/>
      <c r="T39" s="880"/>
      <c r="U39" s="866"/>
      <c r="V39" s="866">
        <f>'3. T3 TASE '!H70/1000</f>
        <v>0</v>
      </c>
      <c r="W39" s="866">
        <f>'3. T3 TASE '!I70/1000</f>
        <v>0</v>
      </c>
      <c r="X39" s="866">
        <f>'3. T3 TASE '!J70/1000</f>
        <v>0</v>
      </c>
      <c r="Y39" s="866">
        <f>'3. T3 TASE '!K70/1000</f>
        <v>0</v>
      </c>
      <c r="AA39" s="1030"/>
      <c r="AB39" s="1030"/>
      <c r="AC39" s="756"/>
      <c r="AD39" s="756"/>
      <c r="AE39" s="1031"/>
      <c r="AF39" s="1031"/>
      <c r="AG39" s="1031"/>
      <c r="AH39" s="1031"/>
      <c r="AI39" s="1031"/>
      <c r="AJ39" s="1031"/>
      <c r="AK39" s="1031"/>
      <c r="AL39" s="1031"/>
      <c r="AM39" s="1031"/>
      <c r="AN39" s="1031"/>
      <c r="AO39" s="1031"/>
      <c r="AP39" s="1031"/>
    </row>
    <row r="40" spans="2:54" ht="11.25" customHeight="1" x14ac:dyDescent="0.2">
      <c r="B40" s="1392" t="s">
        <v>172</v>
      </c>
      <c r="C40" s="863" t="s">
        <v>540</v>
      </c>
      <c r="D40" s="853">
        <f>'1. T1 INVESTOINTISUUN.'!D50/1000</f>
        <v>0</v>
      </c>
      <c r="E40" s="853">
        <f>'1. T1 INVESTOINTISUUN.'!E50/1000</f>
        <v>0</v>
      </c>
      <c r="F40" s="853">
        <f>'1. T1 INVESTOINTISUUN.'!F50/1000</f>
        <v>0</v>
      </c>
      <c r="G40" s="853">
        <f>'1. T1 INVESTOINTISUUN.'!G50/1000</f>
        <v>0</v>
      </c>
      <c r="H40" s="853">
        <f>'1. T1 INVESTOINTISUUN.'!H50/1000</f>
        <v>0</v>
      </c>
      <c r="I40" s="1260" t="str">
        <f>'1. T1 INVESTOINTISUUN.'!J51</f>
        <v xml:space="preserve"> Rahoittaja</v>
      </c>
      <c r="J40" s="51"/>
      <c r="K40" s="2176"/>
      <c r="L40" s="1261" t="s">
        <v>348</v>
      </c>
      <c r="M40" s="2041" t="str">
        <f>'1. T1 INVESTOINTISUUN.'!N51</f>
        <v xml:space="preserve"> Käytetty vakuus</v>
      </c>
      <c r="N40" s="2041"/>
      <c r="O40" s="2078"/>
      <c r="Q40" s="855" t="s">
        <v>0</v>
      </c>
      <c r="R40" s="864" t="s">
        <v>241</v>
      </c>
      <c r="S40" s="882"/>
      <c r="T40" s="880">
        <f>'3. T3 TASE '!F71/1000</f>
        <v>0</v>
      </c>
      <c r="U40" s="866">
        <f>'3. T3 TASE '!G71/1000</f>
        <v>0</v>
      </c>
      <c r="V40" s="866">
        <f>'3. T3 TASE '!H71/1000</f>
        <v>0</v>
      </c>
      <c r="W40" s="866">
        <f>'3. T3 TASE '!I71/1000</f>
        <v>0</v>
      </c>
      <c r="X40" s="866">
        <f>'3. T3 TASE '!J71/1000</f>
        <v>0</v>
      </c>
      <c r="Y40" s="866">
        <f>'3. T3 TASE '!K71/1000</f>
        <v>0</v>
      </c>
      <c r="AA40" s="1375" t="str">
        <f>'4. T7 LAINAT '!B20</f>
        <v>UUDET PITKÄAIKAISET LAINAT</v>
      </c>
      <c r="AB40" s="2136" t="s">
        <v>560</v>
      </c>
      <c r="AC40" s="2103" t="s">
        <v>617</v>
      </c>
      <c r="AD40" s="2097" t="str">
        <f>'4. T7 LAINAT '!E20</f>
        <v>Korko-%</v>
      </c>
      <c r="AE40" s="2037" t="str">
        <f>'4. T7 LAINAT '!F20</f>
        <v>Ennuste 1</v>
      </c>
      <c r="AF40" s="2037"/>
      <c r="AG40" s="2037"/>
      <c r="AH40" s="2137" t="str">
        <f>'4. T7 LAINAT '!I20</f>
        <v>Ennuste 2</v>
      </c>
      <c r="AI40" s="2037"/>
      <c r="AJ40" s="2138"/>
      <c r="AK40" s="2037" t="str">
        <f>'4. T7 LAINAT '!L20</f>
        <v>Ennuste 3</v>
      </c>
      <c r="AL40" s="2037"/>
      <c r="AM40" s="2037"/>
      <c r="AN40" s="2137" t="str">
        <f>'4. T7 LAINAT '!O20</f>
        <v>Ennuste 4</v>
      </c>
      <c r="AO40" s="2037"/>
      <c r="AP40" s="2138"/>
    </row>
    <row r="41" spans="2:54" ht="11.25" customHeight="1" x14ac:dyDescent="0.2">
      <c r="B41" s="2148" t="s">
        <v>94</v>
      </c>
      <c r="C41" s="2066"/>
      <c r="D41" s="853"/>
      <c r="E41" s="853"/>
      <c r="F41" s="853"/>
      <c r="G41" s="853"/>
      <c r="H41" s="853"/>
      <c r="I41" s="2055" t="str">
        <f>'1. T1 INVESTOINTISUUN.'!J52</f>
        <v xml:space="preserve"> Finnvera</v>
      </c>
      <c r="J41" s="2056"/>
      <c r="K41" s="2079">
        <f>'1. T1 INVESTOINTISUUN.'!L52</f>
        <v>0</v>
      </c>
      <c r="L41" s="2081">
        <f>'1. T1 INVESTOINTISUUN.'!M52</f>
        <v>0</v>
      </c>
      <c r="M41" s="2155">
        <f>'1. T1 INVESTOINTISUUN.'!N52</f>
        <v>0</v>
      </c>
      <c r="N41" s="2156"/>
      <c r="O41" s="2157"/>
      <c r="Q41" s="855">
        <v>0</v>
      </c>
      <c r="R41" s="864" t="s">
        <v>242</v>
      </c>
      <c r="S41" s="882"/>
      <c r="T41" s="880">
        <f>'3. T3 TASE '!F74/1000</f>
        <v>0</v>
      </c>
      <c r="U41" s="866">
        <f>'3. T3 TASE '!G74/1000</f>
        <v>0</v>
      </c>
      <c r="V41" s="866">
        <f>'3. T3 TASE '!H74/1000</f>
        <v>0</v>
      </c>
      <c r="W41" s="866">
        <f>'3. T3 TASE '!I74/1000</f>
        <v>0</v>
      </c>
      <c r="X41" s="866">
        <f>'3. T3 TASE '!J74/1000</f>
        <v>0</v>
      </c>
      <c r="Y41" s="866">
        <f>'3. T3 TASE '!K74/1000</f>
        <v>0</v>
      </c>
      <c r="AA41" s="1371" t="s">
        <v>538</v>
      </c>
      <c r="AB41" s="2136"/>
      <c r="AC41" s="2103"/>
      <c r="AD41" s="2097"/>
      <c r="AE41" s="2037">
        <f>AE27</f>
        <v>2024</v>
      </c>
      <c r="AF41" s="2037"/>
      <c r="AG41" s="2037"/>
      <c r="AH41" s="2137">
        <f>AH27</f>
        <v>2025</v>
      </c>
      <c r="AI41" s="2037"/>
      <c r="AJ41" s="2138"/>
      <c r="AK41" s="2037">
        <f>AK27</f>
        <v>2026</v>
      </c>
      <c r="AL41" s="2037"/>
      <c r="AM41" s="2037"/>
      <c r="AN41" s="2137">
        <f>AN27</f>
        <v>2027</v>
      </c>
      <c r="AO41" s="2037"/>
      <c r="AP41" s="2138"/>
    </row>
    <row r="42" spans="2:54" ht="11.25" customHeight="1" x14ac:dyDescent="0.2">
      <c r="B42" s="1393" t="s">
        <v>173</v>
      </c>
      <c r="C42" s="861" t="s">
        <v>193</v>
      </c>
      <c r="D42" s="853">
        <f>'1. T1 INVESTOINTISUUN.'!D53/1000</f>
        <v>0</v>
      </c>
      <c r="E42" s="853">
        <f>'1. T1 INVESTOINTISUUN.'!E53/1000</f>
        <v>0</v>
      </c>
      <c r="F42" s="853">
        <f>'1. T1 INVESTOINTISUUN.'!F53/1000</f>
        <v>0</v>
      </c>
      <c r="G42" s="853">
        <f>'1. T1 INVESTOINTISUUN.'!G53/1000</f>
        <v>0</v>
      </c>
      <c r="H42" s="853">
        <f>'1. T1 INVESTOINTISUUN.'!H53/1000</f>
        <v>0</v>
      </c>
      <c r="I42" s="2057"/>
      <c r="J42" s="2058"/>
      <c r="K42" s="2080"/>
      <c r="L42" s="2082"/>
      <c r="M42" s="2158"/>
      <c r="N42" s="2159"/>
      <c r="O42" s="2160"/>
      <c r="Q42" s="878" t="s">
        <v>340</v>
      </c>
      <c r="R42" s="884" t="s">
        <v>240</v>
      </c>
      <c r="S42" s="885"/>
      <c r="T42" s="880">
        <f>'3. T3 TASE '!F75/1000</f>
        <v>0</v>
      </c>
      <c r="U42" s="877">
        <f>'3. T3 TASE '!G75/1000</f>
        <v>0</v>
      </c>
      <c r="V42" s="877">
        <f>'3. T3 TASE '!H75/1000</f>
        <v>0</v>
      </c>
      <c r="W42" s="877">
        <f>'3. T3 TASE '!I75/1000</f>
        <v>0</v>
      </c>
      <c r="X42" s="877">
        <f>'3. T3 TASE '!J75/1000</f>
        <v>0</v>
      </c>
      <c r="Y42" s="877">
        <f>'3. T3 TASE '!K75/1000</f>
        <v>0</v>
      </c>
      <c r="AA42" s="1032" t="str">
        <f>'4. T7 LAINAT '!B22</f>
        <v>Luotonantaja</v>
      </c>
      <c r="AB42" s="2136"/>
      <c r="AC42" s="2103"/>
      <c r="AD42" s="2097"/>
      <c r="AE42" s="878" t="str">
        <f>'4. T7 LAINAT '!F22</f>
        <v>Nosto</v>
      </c>
      <c r="AF42" s="878" t="s">
        <v>134</v>
      </c>
      <c r="AG42" s="878" t="str">
        <f>'4. T7 LAINAT '!H22</f>
        <v>Korko</v>
      </c>
      <c r="AH42" s="1487" t="s">
        <v>129</v>
      </c>
      <c r="AI42" s="878" t="s">
        <v>134</v>
      </c>
      <c r="AJ42" s="1488" t="s">
        <v>126</v>
      </c>
      <c r="AK42" s="878" t="s">
        <v>129</v>
      </c>
      <c r="AL42" s="878" t="s">
        <v>134</v>
      </c>
      <c r="AM42" s="878" t="s">
        <v>126</v>
      </c>
      <c r="AN42" s="1487" t="s">
        <v>129</v>
      </c>
      <c r="AO42" s="878" t="s">
        <v>134</v>
      </c>
      <c r="AP42" s="1488" t="s">
        <v>126</v>
      </c>
    </row>
    <row r="43" spans="2:54" ht="11.25" customHeight="1" x14ac:dyDescent="0.2">
      <c r="B43" s="1392" t="s">
        <v>174</v>
      </c>
      <c r="C43" s="863" t="s">
        <v>354</v>
      </c>
      <c r="D43" s="853">
        <f>'1. T1 INVESTOINTISUUN.'!D54/1000</f>
        <v>0</v>
      </c>
      <c r="E43" s="853">
        <f>'1. T1 INVESTOINTISUUN.'!E54/1000</f>
        <v>0</v>
      </c>
      <c r="F43" s="853">
        <f>'1. T1 INVESTOINTISUUN.'!F54/1000</f>
        <v>0</v>
      </c>
      <c r="G43" s="853">
        <f>'1. T1 INVESTOINTISUUN.'!G54/1000</f>
        <v>0</v>
      </c>
      <c r="H43" s="853">
        <f>'1. T1 INVESTOINTISUUN.'!H54/1000</f>
        <v>0</v>
      </c>
      <c r="I43" s="2055" t="str">
        <f>'1. T1 INVESTOINTISUUN.'!J54</f>
        <v xml:space="preserve"> Pankki</v>
      </c>
      <c r="J43" s="2056"/>
      <c r="K43" s="2079">
        <f>'1. T1 INVESTOINTISUUN.'!L54</f>
        <v>0</v>
      </c>
      <c r="L43" s="2081">
        <f>'1. T1 INVESTOINTISUUN.'!M54</f>
        <v>0</v>
      </c>
      <c r="M43" s="2155">
        <f>'1. T1 INVESTOINTISUUN.'!N54</f>
        <v>0</v>
      </c>
      <c r="N43" s="2156"/>
      <c r="O43" s="2157"/>
      <c r="Q43" s="855" t="s">
        <v>0</v>
      </c>
      <c r="R43" s="865" t="s">
        <v>228</v>
      </c>
      <c r="S43" s="874"/>
      <c r="T43" s="880">
        <f>'3. T3 TASE '!F76/1000</f>
        <v>0</v>
      </c>
      <c r="U43" s="866">
        <f>'3. T3 TASE '!G76/1000</f>
        <v>0</v>
      </c>
      <c r="V43" s="866">
        <f>'3. T3 TASE '!H76/1000</f>
        <v>0</v>
      </c>
      <c r="W43" s="866">
        <f>'3. T3 TASE '!I76/1000</f>
        <v>0</v>
      </c>
      <c r="X43" s="866">
        <f>'3. T3 TASE '!J76/1000</f>
        <v>0</v>
      </c>
      <c r="Y43" s="866">
        <f>'3. T3 TASE '!K76/1000</f>
        <v>0</v>
      </c>
      <c r="AA43" s="1033" t="str">
        <f>'4. T7 LAINAT '!B23</f>
        <v xml:space="preserve"> 1. vuonna nostettavat lainat</v>
      </c>
      <c r="AB43" s="1548"/>
      <c r="AC43" s="1548"/>
      <c r="AD43" s="1548"/>
      <c r="AE43" s="1034" t="s">
        <v>0</v>
      </c>
      <c r="AF43" s="1034"/>
      <c r="AG43" s="1034"/>
      <c r="AH43" s="1034" t="s">
        <v>0</v>
      </c>
      <c r="AI43" s="1034"/>
      <c r="AJ43" s="1034"/>
      <c r="AK43" s="1034"/>
      <c r="AL43" s="1034"/>
      <c r="AM43" s="1034"/>
      <c r="AN43" s="1034" t="s">
        <v>0</v>
      </c>
      <c r="AO43" s="1034"/>
      <c r="AP43" s="1034"/>
    </row>
    <row r="44" spans="2:54" ht="11.25" customHeight="1" x14ac:dyDescent="0.2">
      <c r="B44" s="1392" t="s">
        <v>175</v>
      </c>
      <c r="C44" s="863" t="str">
        <f>'1. T1 INVESTOINTISUUN.'!C55</f>
        <v>Osamaksurahoitus, eläkelaina tms.</v>
      </c>
      <c r="D44" s="853">
        <f>'1. T1 INVESTOINTISUUN.'!D55/1000</f>
        <v>0</v>
      </c>
      <c r="E44" s="853">
        <f>'1. T1 INVESTOINTISUUN.'!E55/1000</f>
        <v>0</v>
      </c>
      <c r="F44" s="853">
        <f>'1. T1 INVESTOINTISUUN.'!F55/1000</f>
        <v>0</v>
      </c>
      <c r="G44" s="853">
        <f>'1. T1 INVESTOINTISUUN.'!G55/1000</f>
        <v>0</v>
      </c>
      <c r="H44" s="853">
        <f>'1. T1 INVESTOINTISUUN.'!H55/1000</f>
        <v>0</v>
      </c>
      <c r="I44" s="2057"/>
      <c r="J44" s="2058"/>
      <c r="K44" s="2080"/>
      <c r="L44" s="2082"/>
      <c r="M44" s="2158"/>
      <c r="N44" s="2159"/>
      <c r="O44" s="2160"/>
      <c r="Q44" s="855">
        <v>0</v>
      </c>
      <c r="R44" s="865" t="s">
        <v>243</v>
      </c>
      <c r="S44" s="874"/>
      <c r="T44" s="880">
        <f>'3. T3 TASE '!F79/1000</f>
        <v>0</v>
      </c>
      <c r="U44" s="866">
        <f>'3. T3 TASE '!G79/1000</f>
        <v>0</v>
      </c>
      <c r="V44" s="866">
        <f>'3. T3 TASE '!H79/1000</f>
        <v>0</v>
      </c>
      <c r="W44" s="866">
        <f>'3. T3 TASE '!I79/1000</f>
        <v>0</v>
      </c>
      <c r="X44" s="866">
        <f>'3. T3 TASE '!J79/1000</f>
        <v>0</v>
      </c>
      <c r="Y44" s="866">
        <f>'3. T3 TASE '!K79/1000</f>
        <v>0</v>
      </c>
      <c r="AA44" s="892" t="str">
        <f>'4. T7 LAINAT '!B24</f>
        <v xml:space="preserve"> Rahoittaja/rahoitettava kohde</v>
      </c>
      <c r="AB44" s="1489">
        <f>'4. T7 LAINAT '!C24/1000</f>
        <v>0</v>
      </c>
      <c r="AC44" s="909">
        <f>'4. T7 LAINAT '!D24</f>
        <v>0</v>
      </c>
      <c r="AD44" s="1493">
        <f>'4. T7 LAINAT '!E24*100</f>
        <v>0</v>
      </c>
      <c r="AE44" s="1491">
        <f>'4. T7 LAINAT '!F24/1000</f>
        <v>0</v>
      </c>
      <c r="AF44" s="866">
        <f>'4. T7 LAINAT '!G24/1000</f>
        <v>0</v>
      </c>
      <c r="AG44" s="1469">
        <f>'4. T7 LAINAT '!H24/1000</f>
        <v>0</v>
      </c>
      <c r="AH44" s="1489"/>
      <c r="AI44" s="866">
        <f>'4. T7 LAINAT '!J24/1000</f>
        <v>0</v>
      </c>
      <c r="AJ44" s="1492">
        <f>'4. T7 LAINAT '!K24/1000</f>
        <v>0</v>
      </c>
      <c r="AK44" s="1491"/>
      <c r="AL44" s="866">
        <f>'4. T7 LAINAT '!M24/1000</f>
        <v>0</v>
      </c>
      <c r="AM44" s="1469">
        <f>'4. T7 LAINAT '!N24/1000</f>
        <v>0</v>
      </c>
      <c r="AN44" s="1489"/>
      <c r="AO44" s="866">
        <f>'4. T7 LAINAT '!P24/1000</f>
        <v>0</v>
      </c>
      <c r="AP44" s="1490">
        <f>'4. T7 LAINAT '!Q24/1000</f>
        <v>0</v>
      </c>
    </row>
    <row r="45" spans="2:54" ht="11.25" customHeight="1" x14ac:dyDescent="0.2">
      <c r="B45" s="1392" t="s">
        <v>176</v>
      </c>
      <c r="C45" s="863" t="s">
        <v>474</v>
      </c>
      <c r="D45" s="853">
        <f>('1. T1 INVESTOINTISUUN.'!D56+'1. T1 INVESTOINTISUUN.'!D57)/1000</f>
        <v>0</v>
      </c>
      <c r="E45" s="853">
        <f>('1. T1 INVESTOINTISUUN.'!E56+'1. T1 INVESTOINTISUUN.'!E57)/1000</f>
        <v>0</v>
      </c>
      <c r="F45" s="853">
        <f>('1. T1 INVESTOINTISUUN.'!F56+'1. T1 INVESTOINTISUUN.'!F57)/1000</f>
        <v>0</v>
      </c>
      <c r="G45" s="853">
        <f>('1. T1 INVESTOINTISUUN.'!G56+'1. T1 INVESTOINTISUUN.'!G57)/1000</f>
        <v>0</v>
      </c>
      <c r="H45" s="853">
        <f>('1. T1 INVESTOINTISUUN.'!H56+'1. T1 INVESTOINTISUUN.'!H57)/1000</f>
        <v>0</v>
      </c>
      <c r="I45" s="2055" t="str">
        <f>'1. T1 INVESTOINTISUUN.'!J56</f>
        <v xml:space="preserve"> Osamaksu</v>
      </c>
      <c r="J45" s="2056"/>
      <c r="K45" s="2079">
        <f>'1. T1 INVESTOINTISUUN.'!L56</f>
        <v>0</v>
      </c>
      <c r="L45" s="2081">
        <f>'1. T1 INVESTOINTISUUN.'!M56</f>
        <v>0</v>
      </c>
      <c r="M45" s="2155">
        <f>'1. T1 INVESTOINTISUUN.'!N56</f>
        <v>0</v>
      </c>
      <c r="N45" s="2156"/>
      <c r="O45" s="2157"/>
      <c r="Q45" s="855">
        <v>0</v>
      </c>
      <c r="R45" s="865" t="s">
        <v>241</v>
      </c>
      <c r="S45" s="874"/>
      <c r="T45" s="880">
        <f>'3. T3 TASE '!F80/1000</f>
        <v>0</v>
      </c>
      <c r="U45" s="866">
        <f>'3. T3 TASE '!G80/1000</f>
        <v>0</v>
      </c>
      <c r="V45" s="866">
        <f>'3. T3 TASE '!H80/1000</f>
        <v>0</v>
      </c>
      <c r="W45" s="866">
        <f>'3. T3 TASE '!I80/1000</f>
        <v>0</v>
      </c>
      <c r="X45" s="866">
        <f>'3. T3 TASE '!J80/1000</f>
        <v>0</v>
      </c>
      <c r="Y45" s="866">
        <f>'3. T3 TASE '!K80/1000</f>
        <v>0</v>
      </c>
      <c r="AA45" s="912">
        <f>'4. T7 LAINAT '!B25</f>
        <v>0</v>
      </c>
      <c r="AB45" s="1489">
        <f>'4. T7 LAINAT '!C25/1000</f>
        <v>0</v>
      </c>
      <c r="AC45" s="910">
        <f>'4. T7 LAINAT '!D25</f>
        <v>0</v>
      </c>
      <c r="AD45" s="1493">
        <f>'4. T7 LAINAT '!E25*100</f>
        <v>0</v>
      </c>
      <c r="AE45" s="1491">
        <f>'4. T7 LAINAT '!F25/1000</f>
        <v>0</v>
      </c>
      <c r="AF45" s="866">
        <f>'4. T7 LAINAT '!G25/1000</f>
        <v>0</v>
      </c>
      <c r="AG45" s="1469">
        <f>'4. T7 LAINAT '!H25/1000</f>
        <v>0</v>
      </c>
      <c r="AH45" s="1489"/>
      <c r="AI45" s="866">
        <f>'4. T7 LAINAT '!J25/1000</f>
        <v>0</v>
      </c>
      <c r="AJ45" s="1492">
        <f>'4. T7 LAINAT '!K25/1000</f>
        <v>0</v>
      </c>
      <c r="AK45" s="1491"/>
      <c r="AL45" s="866">
        <f>'4. T7 LAINAT '!M25/1000</f>
        <v>0</v>
      </c>
      <c r="AM45" s="1469">
        <f>'4. T7 LAINAT '!N25/1000</f>
        <v>0</v>
      </c>
      <c r="AN45" s="1489"/>
      <c r="AO45" s="866">
        <f>'4. T7 LAINAT '!P25/1000</f>
        <v>0</v>
      </c>
      <c r="AP45" s="1490">
        <f>'4. T7 LAINAT '!Q25/1000</f>
        <v>0</v>
      </c>
    </row>
    <row r="46" spans="2:54" ht="11.25" customHeight="1" x14ac:dyDescent="0.2">
      <c r="B46" s="1392" t="s">
        <v>177</v>
      </c>
      <c r="C46" s="862" t="s">
        <v>321</v>
      </c>
      <c r="D46" s="853">
        <f>'1. T1 INVESTOINTISUUN.'!D58/1000</f>
        <v>0</v>
      </c>
      <c r="E46" s="853">
        <f>'1. T1 INVESTOINTISUUN.'!E58/1000</f>
        <v>0</v>
      </c>
      <c r="F46" s="853">
        <f>'1. T1 INVESTOINTISUUN.'!F58/1000</f>
        <v>0</v>
      </c>
      <c r="G46" s="853">
        <f>'1. T1 INVESTOINTISUUN.'!G58/1000</f>
        <v>0</v>
      </c>
      <c r="H46" s="853">
        <f>'1. T1 INVESTOINTISUUN.'!H58/1000</f>
        <v>0</v>
      </c>
      <c r="I46" s="2057"/>
      <c r="J46" s="2058"/>
      <c r="K46" s="2080"/>
      <c r="L46" s="2082"/>
      <c r="M46" s="2158"/>
      <c r="N46" s="2159"/>
      <c r="O46" s="2160"/>
      <c r="R46" s="865" t="s">
        <v>244</v>
      </c>
      <c r="S46" s="874"/>
      <c r="T46" s="880">
        <f>'3. T3 TASE '!F84/1000</f>
        <v>0</v>
      </c>
      <c r="U46" s="866">
        <f>'3. T3 TASE '!G84/1000</f>
        <v>0</v>
      </c>
      <c r="V46" s="866">
        <f>'3. T3 TASE '!H84/1000</f>
        <v>0</v>
      </c>
      <c r="W46" s="866">
        <f>'3. T3 TASE '!I84/1000</f>
        <v>0</v>
      </c>
      <c r="X46" s="866">
        <f>'3. T3 TASE '!J84/1000</f>
        <v>0</v>
      </c>
      <c r="Y46" s="866">
        <f>'3. T3 TASE '!K84/1000</f>
        <v>0</v>
      </c>
      <c r="AA46" s="912">
        <f>'4. T7 LAINAT '!B26</f>
        <v>0</v>
      </c>
      <c r="AB46" s="1489">
        <f>'4. T7 LAINAT '!C26/1000</f>
        <v>0</v>
      </c>
      <c r="AC46" s="910">
        <f>'4. T7 LAINAT '!D26</f>
        <v>0</v>
      </c>
      <c r="AD46" s="1493">
        <f>'4. T7 LAINAT '!E26*100</f>
        <v>0</v>
      </c>
      <c r="AE46" s="1491">
        <f>'4. T7 LAINAT '!F26/1000</f>
        <v>0</v>
      </c>
      <c r="AF46" s="866">
        <f>'4. T7 LAINAT '!G26/1000</f>
        <v>0</v>
      </c>
      <c r="AG46" s="1469">
        <f>'4. T7 LAINAT '!H26/1000</f>
        <v>0</v>
      </c>
      <c r="AH46" s="1489"/>
      <c r="AI46" s="866">
        <f>'4. T7 LAINAT '!J26/1000</f>
        <v>0</v>
      </c>
      <c r="AJ46" s="1492">
        <f>'4. T7 LAINAT '!K26/1000</f>
        <v>0</v>
      </c>
      <c r="AK46" s="1491"/>
      <c r="AL46" s="866">
        <f>'4. T7 LAINAT '!M26/1000</f>
        <v>0</v>
      </c>
      <c r="AM46" s="1469">
        <f>'4. T7 LAINAT '!N26/1000</f>
        <v>0</v>
      </c>
      <c r="AN46" s="1489"/>
      <c r="AO46" s="866">
        <f>'4. T7 LAINAT '!P26/1000</f>
        <v>0</v>
      </c>
      <c r="AP46" s="1490">
        <f>'4. T7 LAINAT '!Q26/1000</f>
        <v>0</v>
      </c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</row>
    <row r="47" spans="2:54" ht="11.25" customHeight="1" x14ac:dyDescent="0.2">
      <c r="B47" s="1392" t="s">
        <v>445</v>
      </c>
      <c r="C47" s="862" t="s">
        <v>322</v>
      </c>
      <c r="D47" s="853">
        <f>'1. T1 INVESTOINTISUUN.'!D59/1000</f>
        <v>0</v>
      </c>
      <c r="E47" s="853">
        <f>'1. T1 INVESTOINTISUUN.'!E59/1000</f>
        <v>0</v>
      </c>
      <c r="F47" s="853">
        <f>'1. T1 INVESTOINTISUUN.'!F59/1000</f>
        <v>0</v>
      </c>
      <c r="G47" s="853">
        <f>'1. T1 INVESTOINTISUUN.'!G59/1000</f>
        <v>0</v>
      </c>
      <c r="H47" s="853">
        <f>'1. T1 INVESTOINTISUUN.'!H59/1000</f>
        <v>0</v>
      </c>
      <c r="I47" s="2055" t="str">
        <f>'1. T1 INVESTOINTISUUN.'!J58</f>
        <v xml:space="preserve"> Eläkelainat</v>
      </c>
      <c r="J47" s="2056"/>
      <c r="K47" s="2079">
        <f>'1. T1 INVESTOINTISUUN.'!L58</f>
        <v>0</v>
      </c>
      <c r="L47" s="2081">
        <f>'1. T1 INVESTOINTISUUN.'!M58</f>
        <v>0</v>
      </c>
      <c r="M47" s="2155">
        <f>'1. T1 INVESTOINTISUUN.'!N58</f>
        <v>0</v>
      </c>
      <c r="N47" s="2161"/>
      <c r="O47" s="2162"/>
      <c r="R47" s="865" t="s">
        <v>245</v>
      </c>
      <c r="S47" s="874"/>
      <c r="T47" s="880">
        <f>'3. T3 TASE '!F91/1000</f>
        <v>0</v>
      </c>
      <c r="U47" s="866">
        <f>'3. T3 TASE '!G91/1000</f>
        <v>0</v>
      </c>
      <c r="V47" s="866">
        <f>'3. T3 TASE '!H91/1000</f>
        <v>0</v>
      </c>
      <c r="W47" s="866">
        <f>'3. T3 TASE '!I91/1000</f>
        <v>0</v>
      </c>
      <c r="X47" s="866">
        <f>'3. T3 TASE '!J91/1000</f>
        <v>0</v>
      </c>
      <c r="Y47" s="866">
        <f>'3. T3 TASE '!K91/1000</f>
        <v>0</v>
      </c>
      <c r="AA47" s="1033" t="str">
        <f>'4. T7 LAINAT '!B27</f>
        <v xml:space="preserve"> 2. vuonna nostettavat lainat</v>
      </c>
      <c r="AB47" s="1483"/>
      <c r="AC47" s="1484"/>
      <c r="AD47" s="1485"/>
      <c r="AE47" s="1483"/>
      <c r="AF47" s="1483"/>
      <c r="AG47" s="1486"/>
      <c r="AH47" s="1483"/>
      <c r="AI47" s="1483"/>
      <c r="AJ47" s="1483"/>
      <c r="AK47" s="1483"/>
      <c r="AL47" s="1483"/>
      <c r="AM47" s="1483"/>
      <c r="AN47" s="1483"/>
      <c r="AO47" s="1483"/>
      <c r="AP47" s="1485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</row>
    <row r="48" spans="2:54" ht="11.25" customHeight="1" x14ac:dyDescent="0.2">
      <c r="B48" s="1395" t="s">
        <v>473</v>
      </c>
      <c r="C48" s="1396" t="s">
        <v>323</v>
      </c>
      <c r="D48" s="1397">
        <f>'1. T1 INVESTOINTISUUN.'!D60/1000</f>
        <v>0</v>
      </c>
      <c r="E48" s="1397">
        <f>'1. T1 INVESTOINTISUUN.'!E60/1000</f>
        <v>0</v>
      </c>
      <c r="F48" s="1397">
        <f>'1. T1 INVESTOINTISUUN.'!F60/1000</f>
        <v>0</v>
      </c>
      <c r="G48" s="1397">
        <f>'1. T1 INVESTOINTISUUN.'!G60/1000</f>
        <v>0</v>
      </c>
      <c r="H48" s="1397">
        <f>'1. T1 INVESTOINTISUUN.'!H60/1000</f>
        <v>0</v>
      </c>
      <c r="I48" s="2167"/>
      <c r="J48" s="2168"/>
      <c r="K48" s="2166"/>
      <c r="L48" s="2166"/>
      <c r="M48" s="2163"/>
      <c r="N48" s="2164"/>
      <c r="O48" s="2165"/>
      <c r="Q48" s="855"/>
      <c r="R48" s="865" t="s">
        <v>252</v>
      </c>
      <c r="S48" s="874"/>
      <c r="T48" s="880">
        <f>'3. T3 TASE '!F96/1000</f>
        <v>0</v>
      </c>
      <c r="U48" s="866">
        <f>'3. T3 TASE '!G96/1000</f>
        <v>0</v>
      </c>
      <c r="V48" s="866">
        <f>'3. T3 TASE '!H96/1000</f>
        <v>0</v>
      </c>
      <c r="W48" s="866">
        <f>'3. T3 TASE '!I96/1000</f>
        <v>0</v>
      </c>
      <c r="X48" s="866">
        <f>'3. T3 TASE '!J96/1000</f>
        <v>0</v>
      </c>
      <c r="Y48" s="866">
        <f>'3. T3 TASE '!K96/1000</f>
        <v>0</v>
      </c>
      <c r="AA48" s="892" t="str">
        <f>'4. T7 LAINAT '!B28</f>
        <v xml:space="preserve"> Rahoittaja/rahoitettava kohde</v>
      </c>
      <c r="AB48" s="1489">
        <f>'4. T7 LAINAT '!C28/1000</f>
        <v>0</v>
      </c>
      <c r="AC48" s="909">
        <f>'4. T7 LAINAT '!D28</f>
        <v>0</v>
      </c>
      <c r="AD48" s="1493">
        <f>'4. T7 LAINAT '!E28*100</f>
        <v>0</v>
      </c>
      <c r="AE48" s="1491"/>
      <c r="AF48" s="866"/>
      <c r="AG48" s="1469"/>
      <c r="AH48" s="1489">
        <f>'4. T7 LAINAT '!I28/1000</f>
        <v>0</v>
      </c>
      <c r="AI48" s="866">
        <f>'4. T7 LAINAT '!J28/1000</f>
        <v>0</v>
      </c>
      <c r="AJ48" s="1492">
        <f>'4. T7 LAINAT '!K28/1000</f>
        <v>0</v>
      </c>
      <c r="AK48" s="1491"/>
      <c r="AL48" s="866">
        <f>'4. T7 LAINAT '!M28/1000</f>
        <v>0</v>
      </c>
      <c r="AM48" s="1469">
        <f>'4. T7 LAINAT '!N28/1000</f>
        <v>0</v>
      </c>
      <c r="AN48" s="1489"/>
      <c r="AO48" s="866">
        <f>'4. T7 LAINAT '!P28/1000</f>
        <v>0</v>
      </c>
      <c r="AP48" s="1490">
        <f>'4. T7 LAINAT '!Q28/1000</f>
        <v>0</v>
      </c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</row>
    <row r="49" spans="2:54" ht="10.9" customHeight="1" x14ac:dyDescent="0.2"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Q49" s="855" t="s">
        <v>0</v>
      </c>
      <c r="R49" s="2181" t="s">
        <v>261</v>
      </c>
      <c r="S49" s="2182"/>
      <c r="T49" s="879">
        <f>'3. T3 TASE '!F98/1000</f>
        <v>0</v>
      </c>
      <c r="U49" s="877">
        <f>'3. T3 TASE '!G98/1000</f>
        <v>0</v>
      </c>
      <c r="V49" s="877">
        <f>'3. T3 TASE '!H98/1000</f>
        <v>0</v>
      </c>
      <c r="W49" s="877">
        <f>'3. T3 TASE '!I98/1000</f>
        <v>0</v>
      </c>
      <c r="X49" s="877">
        <f>'3. T3 TASE '!J98/1000</f>
        <v>0</v>
      </c>
      <c r="Y49" s="877">
        <f>'3. T3 TASE '!K98/1000</f>
        <v>0</v>
      </c>
      <c r="AA49" s="912">
        <f>'4. T7 LAINAT '!B29</f>
        <v>0</v>
      </c>
      <c r="AB49" s="1489">
        <f>'4. T7 LAINAT '!C29/1000</f>
        <v>0</v>
      </c>
      <c r="AC49" s="910">
        <f>'4. T7 LAINAT '!D29</f>
        <v>0</v>
      </c>
      <c r="AD49" s="1493">
        <f>'4. T7 LAINAT '!E29*100</f>
        <v>0</v>
      </c>
      <c r="AE49" s="1491"/>
      <c r="AF49" s="866"/>
      <c r="AG49" s="1469"/>
      <c r="AH49" s="1489">
        <f>'4. T7 LAINAT '!I29/1000</f>
        <v>0</v>
      </c>
      <c r="AI49" s="866">
        <f>'4. T7 LAINAT '!J29/1000</f>
        <v>0</v>
      </c>
      <c r="AJ49" s="1492">
        <f>'4. T7 LAINAT '!K29/1000</f>
        <v>0</v>
      </c>
      <c r="AK49" s="1491"/>
      <c r="AL49" s="866">
        <f>'4. T7 LAINAT '!M29/1000</f>
        <v>0</v>
      </c>
      <c r="AM49" s="1469">
        <f>'4. T7 LAINAT '!N29/1000</f>
        <v>0</v>
      </c>
      <c r="AN49" s="1489"/>
      <c r="AO49" s="866">
        <f>'4. T7 LAINAT '!P29/1000</f>
        <v>0</v>
      </c>
      <c r="AP49" s="1490">
        <f>'4. T7 LAINAT '!Q29/1000</f>
        <v>0</v>
      </c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</row>
    <row r="50" spans="2:54" ht="11.25" customHeight="1" x14ac:dyDescent="0.2">
      <c r="B50" s="2084" t="s">
        <v>440</v>
      </c>
      <c r="C50" s="2150"/>
      <c r="D50" s="2149" t="s">
        <v>107</v>
      </c>
      <c r="E50" s="2149"/>
      <c r="F50" s="2149" t="s">
        <v>107</v>
      </c>
      <c r="G50" s="2149"/>
      <c r="H50" s="2149" t="s">
        <v>110</v>
      </c>
      <c r="I50" s="2149"/>
      <c r="J50" s="2149" t="s">
        <v>98</v>
      </c>
      <c r="K50" s="2149"/>
      <c r="L50" s="2149" t="s">
        <v>100</v>
      </c>
      <c r="M50" s="2149"/>
      <c r="N50" s="2149" t="s">
        <v>259</v>
      </c>
      <c r="O50" s="2169"/>
      <c r="Q50" s="914" t="s">
        <v>347</v>
      </c>
      <c r="R50" s="914"/>
      <c r="S50" s="914"/>
      <c r="T50" s="915"/>
      <c r="U50" s="915"/>
      <c r="V50" s="878"/>
      <c r="W50" s="878"/>
      <c r="X50" s="878"/>
      <c r="Y50" s="878"/>
      <c r="AA50" s="912">
        <f>'4. T7 LAINAT '!B30</f>
        <v>0</v>
      </c>
      <c r="AB50" s="1489">
        <f>'4. T7 LAINAT '!C30/1000</f>
        <v>0</v>
      </c>
      <c r="AC50" s="910">
        <f>'4. T7 LAINAT '!D30</f>
        <v>0</v>
      </c>
      <c r="AD50" s="1493">
        <f>'4. T7 LAINAT '!E30*100</f>
        <v>0</v>
      </c>
      <c r="AE50" s="1491"/>
      <c r="AF50" s="866"/>
      <c r="AG50" s="1469"/>
      <c r="AH50" s="1489">
        <f>'4. T7 LAINAT '!I30/1000</f>
        <v>0</v>
      </c>
      <c r="AI50" s="866">
        <f>'4. T7 LAINAT '!J30/1000</f>
        <v>0</v>
      </c>
      <c r="AJ50" s="1492">
        <f>'4. T7 LAINAT '!K30/1000</f>
        <v>0</v>
      </c>
      <c r="AK50" s="1491"/>
      <c r="AL50" s="866">
        <f>'4. T7 LAINAT '!M30/1000</f>
        <v>0</v>
      </c>
      <c r="AM50" s="1469">
        <f>'4. T7 LAINAT '!N30/1000</f>
        <v>0</v>
      </c>
      <c r="AN50" s="1489"/>
      <c r="AO50" s="866">
        <f>'4. T7 LAINAT '!P30/1000</f>
        <v>0</v>
      </c>
      <c r="AP50" s="1490">
        <f>'4. T7 LAINAT '!Q30/1000</f>
        <v>0</v>
      </c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</row>
    <row r="51" spans="2:54" ht="11.25" customHeight="1" x14ac:dyDescent="0.2">
      <c r="B51" s="2151"/>
      <c r="C51" s="2152"/>
      <c r="D51" s="2036">
        <f>'2. &amp; 7. T2 TULOSSUUN. '!E8</f>
        <v>2021</v>
      </c>
      <c r="E51" s="2036"/>
      <c r="F51" s="2036">
        <f>'2. &amp; 7. T2 TULOSSUUN. '!G8</f>
        <v>2022</v>
      </c>
      <c r="G51" s="2036"/>
      <c r="H51" s="2036">
        <f>'2. &amp; 7. T2 TULOSSUUN. '!I8</f>
        <v>2024</v>
      </c>
      <c r="I51" s="2036"/>
      <c r="J51" s="2036">
        <f>'2. &amp; 7. T2 TULOSSUUN. '!K8</f>
        <v>2025</v>
      </c>
      <c r="K51" s="2036"/>
      <c r="L51" s="2036">
        <f>'2. &amp; 7. T2 TULOSSUUN. '!M8</f>
        <v>2026</v>
      </c>
      <c r="M51" s="2036"/>
      <c r="N51" s="2036">
        <f>'2. &amp; 7. T2 TULOSSUUN. '!O8</f>
        <v>2027</v>
      </c>
      <c r="O51" s="2147"/>
      <c r="Q51" s="2175" t="s">
        <v>590</v>
      </c>
      <c r="R51" s="2175"/>
      <c r="S51" s="2175"/>
      <c r="T51" s="1370"/>
      <c r="U51" s="1370"/>
      <c r="V51" s="1363" t="str">
        <f t="shared" ref="V51:Y52" si="1">V5</f>
        <v>Ennuste 1</v>
      </c>
      <c r="W51" s="1363" t="str">
        <f t="shared" si="1"/>
        <v>Ennuste 2</v>
      </c>
      <c r="X51" s="1363" t="str">
        <f t="shared" si="1"/>
        <v>Ennuste 3</v>
      </c>
      <c r="Y51" s="1363" t="str">
        <f t="shared" si="1"/>
        <v>Ennuste 4</v>
      </c>
      <c r="AA51" s="1033" t="str">
        <f>'4. T7 LAINAT '!B31</f>
        <v xml:space="preserve"> 3. vuonna nostettavat lainat</v>
      </c>
      <c r="AB51" s="1483"/>
      <c r="AC51" s="1484"/>
      <c r="AD51" s="1485"/>
      <c r="AE51" s="1483"/>
      <c r="AF51" s="1483"/>
      <c r="AG51" s="1486"/>
      <c r="AH51" s="1483"/>
      <c r="AI51" s="1483"/>
      <c r="AJ51" s="1486"/>
      <c r="AK51" s="1483"/>
      <c r="AL51" s="1483"/>
      <c r="AM51" s="1483"/>
      <c r="AN51" s="1483"/>
      <c r="AO51" s="1483"/>
      <c r="AP51" s="1485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</row>
    <row r="52" spans="2:54" ht="12" customHeight="1" x14ac:dyDescent="0.2">
      <c r="B52" s="2153"/>
      <c r="C52" s="2154"/>
      <c r="D52" s="1366" t="s">
        <v>435</v>
      </c>
      <c r="E52" s="1367" t="s">
        <v>14</v>
      </c>
      <c r="F52" s="1366" t="s">
        <v>435</v>
      </c>
      <c r="G52" s="1367" t="s">
        <v>14</v>
      </c>
      <c r="H52" s="1366" t="s">
        <v>435</v>
      </c>
      <c r="I52" s="1367" t="s">
        <v>14</v>
      </c>
      <c r="J52" s="1366" t="s">
        <v>435</v>
      </c>
      <c r="K52" s="1367" t="s">
        <v>14</v>
      </c>
      <c r="L52" s="1366" t="s">
        <v>435</v>
      </c>
      <c r="M52" s="1367" t="s">
        <v>14</v>
      </c>
      <c r="N52" s="1366" t="s">
        <v>435</v>
      </c>
      <c r="O52" s="1398" t="s">
        <v>14</v>
      </c>
      <c r="Q52" s="2175"/>
      <c r="R52" s="2175"/>
      <c r="S52" s="2175"/>
      <c r="T52" s="1273"/>
      <c r="U52" s="1273"/>
      <c r="V52" s="1369">
        <f t="shared" si="1"/>
        <v>2024</v>
      </c>
      <c r="W52" s="1369">
        <f t="shared" si="1"/>
        <v>2025</v>
      </c>
      <c r="X52" s="1369">
        <f t="shared" si="1"/>
        <v>2026</v>
      </c>
      <c r="Y52" s="1369">
        <f t="shared" si="1"/>
        <v>2027</v>
      </c>
      <c r="AA52" s="892" t="str">
        <f>'4. T7 LAINAT '!B32</f>
        <v xml:space="preserve"> Rahoittaja/rahoitettava kohde</v>
      </c>
      <c r="AB52" s="1489">
        <f>'4. T7 LAINAT '!C32/1000</f>
        <v>0</v>
      </c>
      <c r="AC52" s="909">
        <f>'4. T7 LAINAT '!D32</f>
        <v>0</v>
      </c>
      <c r="AD52" s="1493">
        <f>'4. T7 LAINAT '!E32*100</f>
        <v>0</v>
      </c>
      <c r="AE52" s="1491"/>
      <c r="AF52" s="866"/>
      <c r="AG52" s="1469"/>
      <c r="AH52" s="1489"/>
      <c r="AI52" s="866"/>
      <c r="AJ52" s="1492"/>
      <c r="AK52" s="1491">
        <f>'4. T7 LAINAT '!L32/1000</f>
        <v>0</v>
      </c>
      <c r="AL52" s="866">
        <f>'4. T7 LAINAT '!M32/1000</f>
        <v>0</v>
      </c>
      <c r="AM52" s="1469">
        <f>'4. T7 LAINAT '!N32/1000</f>
        <v>0</v>
      </c>
      <c r="AN52" s="1489"/>
      <c r="AO52" s="866">
        <f>'4. T7 LAINAT '!P32/1000</f>
        <v>0</v>
      </c>
      <c r="AP52" s="1490">
        <f>'4. T7 LAINAT '!Q32/1000</f>
        <v>0</v>
      </c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</row>
    <row r="53" spans="2:54" ht="11.25" customHeight="1" x14ac:dyDescent="0.2">
      <c r="B53" s="1399"/>
      <c r="C53" s="872" t="s">
        <v>398</v>
      </c>
      <c r="D53" s="2144">
        <f>'2. &amp; 7. T2 TULOSSUUN. '!E10</f>
        <v>12</v>
      </c>
      <c r="E53" s="2145"/>
      <c r="F53" s="2144" t="str">
        <f>'2. &amp; 7. T2 TULOSSUUN. '!G10</f>
        <v>12</v>
      </c>
      <c r="G53" s="2145"/>
      <c r="H53" s="2144">
        <f>'2. &amp; 7. T2 TULOSSUUN. '!I10</f>
        <v>12</v>
      </c>
      <c r="I53" s="2145"/>
      <c r="J53" s="2144" t="str">
        <f>'2. &amp; 7. T2 TULOSSUUN. '!K10</f>
        <v>12</v>
      </c>
      <c r="K53" s="2145"/>
      <c r="L53" s="2144" t="str">
        <f>'2. &amp; 7. T2 TULOSSUUN. '!M10</f>
        <v>12</v>
      </c>
      <c r="M53" s="2145"/>
      <c r="N53" s="2144" t="str">
        <f>'2. &amp; 7. T2 TULOSSUUN. '!O10</f>
        <v>12</v>
      </c>
      <c r="O53" s="2146"/>
      <c r="Q53" s="830" t="s">
        <v>352</v>
      </c>
      <c r="R53" s="756"/>
      <c r="S53" s="756"/>
      <c r="T53" s="854"/>
      <c r="U53" s="425"/>
      <c r="V53" s="886"/>
      <c r="W53" s="886"/>
      <c r="X53" s="886"/>
      <c r="Y53" s="886"/>
      <c r="AA53" s="912">
        <f>'4. T7 LAINAT '!B33</f>
        <v>0</v>
      </c>
      <c r="AB53" s="1489">
        <f>'4. T7 LAINAT '!C33/1000</f>
        <v>0</v>
      </c>
      <c r="AC53" s="910">
        <f>'4. T7 LAINAT '!D33</f>
        <v>0</v>
      </c>
      <c r="AD53" s="1493">
        <f>'4. T7 LAINAT '!E33*100</f>
        <v>0</v>
      </c>
      <c r="AE53" s="1491"/>
      <c r="AF53" s="866"/>
      <c r="AG53" s="1469"/>
      <c r="AH53" s="1489"/>
      <c r="AI53" s="866"/>
      <c r="AJ53" s="1492"/>
      <c r="AK53" s="1491">
        <f>'4. T7 LAINAT '!L33/1000</f>
        <v>0</v>
      </c>
      <c r="AL53" s="866">
        <f>'4. T7 LAINAT '!M33/1000</f>
        <v>0</v>
      </c>
      <c r="AM53" s="1469">
        <f>'4. T7 LAINAT '!N33/1000</f>
        <v>0</v>
      </c>
      <c r="AN53" s="1489"/>
      <c r="AO53" s="866">
        <f>'4. T7 LAINAT '!P33</f>
        <v>0</v>
      </c>
      <c r="AP53" s="1490">
        <f>'4. T7 LAINAT '!Q33/1000</f>
        <v>0</v>
      </c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</row>
    <row r="54" spans="2:54" ht="12" customHeight="1" x14ac:dyDescent="0.2">
      <c r="B54" s="1383" t="s">
        <v>2</v>
      </c>
      <c r="C54" s="873" t="s">
        <v>77</v>
      </c>
      <c r="D54" s="877">
        <f>'2. &amp; 7. T2 TULOSSUUN. '!E11/1000</f>
        <v>0</v>
      </c>
      <c r="E54" s="869">
        <v>0</v>
      </c>
      <c r="F54" s="877">
        <f>'2. &amp; 7. T2 TULOSSUUN. '!G11/1000</f>
        <v>0</v>
      </c>
      <c r="G54" s="869">
        <v>0</v>
      </c>
      <c r="H54" s="877">
        <f>'2. &amp; 7. T2 TULOSSUUN. '!I11/1000</f>
        <v>0</v>
      </c>
      <c r="I54" s="869">
        <v>0</v>
      </c>
      <c r="J54" s="877">
        <f>'2. &amp; 7. T2 TULOSSUUN. '!K11/1000</f>
        <v>0</v>
      </c>
      <c r="K54" s="869">
        <v>0</v>
      </c>
      <c r="L54" s="877">
        <f>'2. &amp; 7. T2 TULOSSUUN. '!M11/1000</f>
        <v>0</v>
      </c>
      <c r="M54" s="869">
        <v>0</v>
      </c>
      <c r="N54" s="877">
        <f>'2. &amp; 7. T2 TULOSSUUN. '!O11/1000</f>
        <v>0</v>
      </c>
      <c r="O54" s="1400">
        <v>0</v>
      </c>
      <c r="Q54" s="855"/>
      <c r="R54" s="892" t="s">
        <v>592</v>
      </c>
      <c r="S54" s="892"/>
      <c r="T54" s="892"/>
      <c r="U54" s="882"/>
      <c r="V54" s="866">
        <f>'8. T4 RAHOITUSSUUN. '!H15/1000</f>
        <v>0</v>
      </c>
      <c r="W54" s="866">
        <f>'8. T4 RAHOITUSSUUN. '!I15/1000</f>
        <v>0</v>
      </c>
      <c r="X54" s="866">
        <f>'8. T4 RAHOITUSSUUN. '!J15/1000</f>
        <v>0</v>
      </c>
      <c r="Y54" s="866">
        <f>'8. T4 RAHOITUSSUUN. '!K15/1000</f>
        <v>0</v>
      </c>
      <c r="AA54" s="912">
        <f>'4. T7 LAINAT '!B34</f>
        <v>0</v>
      </c>
      <c r="AB54" s="1489">
        <f>'4. T7 LAINAT '!C34/1000</f>
        <v>0</v>
      </c>
      <c r="AC54" s="910">
        <f>'4. T7 LAINAT '!D34</f>
        <v>0</v>
      </c>
      <c r="AD54" s="1493">
        <f>'4. T7 LAINAT '!E34*100</f>
        <v>0</v>
      </c>
      <c r="AE54" s="1491"/>
      <c r="AF54" s="866"/>
      <c r="AG54" s="1469"/>
      <c r="AH54" s="1489"/>
      <c r="AI54" s="866"/>
      <c r="AJ54" s="1492"/>
      <c r="AK54" s="1491">
        <f>'4. T7 LAINAT '!L34/1000</f>
        <v>0</v>
      </c>
      <c r="AL54" s="866">
        <f>'4. T7 LAINAT '!M34/1000</f>
        <v>0</v>
      </c>
      <c r="AM54" s="1469">
        <f>'4. T7 LAINAT '!N34/1000</f>
        <v>0</v>
      </c>
      <c r="AN54" s="1489"/>
      <c r="AO54" s="866">
        <f>'4. T7 LAINAT '!P34/1000</f>
        <v>0</v>
      </c>
      <c r="AP54" s="1490">
        <f>'4. T7 LAINAT '!Q34/1000</f>
        <v>0</v>
      </c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</row>
    <row r="55" spans="2:54" ht="11.25" customHeight="1" x14ac:dyDescent="0.2">
      <c r="B55" s="1385" t="s">
        <v>3</v>
      </c>
      <c r="C55" s="874" t="s">
        <v>80</v>
      </c>
      <c r="D55" s="866">
        <f>'2. &amp; 7. T2 TULOSSUUN. '!E12/1000</f>
        <v>0</v>
      </c>
      <c r="E55" s="870">
        <v>0</v>
      </c>
      <c r="F55" s="866">
        <f>'2. &amp; 7. T2 TULOSSUUN. '!G12/1000</f>
        <v>0</v>
      </c>
      <c r="G55" s="870">
        <v>0</v>
      </c>
      <c r="H55" s="866">
        <f>'2. &amp; 7. T2 TULOSSUUN. '!I12/1000</f>
        <v>0</v>
      </c>
      <c r="I55" s="870"/>
      <c r="J55" s="866">
        <f>'2. &amp; 7. T2 TULOSSUUN. '!K12/1000</f>
        <v>0</v>
      </c>
      <c r="K55" s="870"/>
      <c r="L55" s="866">
        <f>'2. &amp; 7. T2 TULOSSUUN. '!M12/1000</f>
        <v>0</v>
      </c>
      <c r="M55" s="870"/>
      <c r="N55" s="866">
        <f>'2. &amp; 7. T2 TULOSSUUN. '!O12/1000</f>
        <v>0</v>
      </c>
      <c r="O55" s="1401"/>
      <c r="Q55" s="855"/>
      <c r="R55" s="912" t="s">
        <v>593</v>
      </c>
      <c r="S55" s="912"/>
      <c r="T55" s="912"/>
      <c r="U55" s="874"/>
      <c r="V55" s="866">
        <f>'8. T4 RAHOITUSSUUN. '!H16/1000</f>
        <v>0</v>
      </c>
      <c r="W55" s="866">
        <f>'8. T4 RAHOITUSSUUN. '!I16/1000</f>
        <v>0</v>
      </c>
      <c r="X55" s="866">
        <f>'8. T4 RAHOITUSSUUN. '!J16/1000</f>
        <v>0</v>
      </c>
      <c r="Y55" s="866">
        <f>'8. T4 RAHOITUSSUUN. '!K16/1000</f>
        <v>0</v>
      </c>
      <c r="AA55" s="1033" t="str">
        <f>'4. T7 LAINAT '!B35</f>
        <v xml:space="preserve"> 4. vuonna nostettavat lainat</v>
      </c>
      <c r="AB55" s="1483"/>
      <c r="AC55" s="1484"/>
      <c r="AD55" s="1485"/>
      <c r="AE55" s="1483"/>
      <c r="AF55" s="1483"/>
      <c r="AG55" s="1486"/>
      <c r="AH55" s="1483"/>
      <c r="AI55" s="1483"/>
      <c r="AJ55" s="1486"/>
      <c r="AK55" s="1483"/>
      <c r="AL55" s="1483"/>
      <c r="AM55" s="1486"/>
      <c r="AN55" s="1483"/>
      <c r="AO55" s="1483"/>
      <c r="AP55" s="1485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</row>
    <row r="56" spans="2:54" ht="11.25" customHeight="1" x14ac:dyDescent="0.2">
      <c r="B56" s="1385" t="s">
        <v>4</v>
      </c>
      <c r="C56" s="874" t="s">
        <v>427</v>
      </c>
      <c r="D56" s="866">
        <f>'2. &amp; 7. T2 TULOSSUUN. '!E13/1000</f>
        <v>0</v>
      </c>
      <c r="E56" s="870"/>
      <c r="F56" s="866">
        <f>'2. &amp; 7. T2 TULOSSUUN. '!G13/1000</f>
        <v>0</v>
      </c>
      <c r="G56" s="870"/>
      <c r="H56" s="866">
        <f>'2. &amp; 7. T2 TULOSSUUN. '!I13/1000</f>
        <v>0</v>
      </c>
      <c r="I56" s="870"/>
      <c r="J56" s="866">
        <f>'2. &amp; 7. T2 TULOSSUUN. '!K13/1000</f>
        <v>0</v>
      </c>
      <c r="K56" s="870"/>
      <c r="L56" s="866">
        <f>'2. &amp; 7. T2 TULOSSUUN. '!M13/1000</f>
        <v>0</v>
      </c>
      <c r="M56" s="870"/>
      <c r="N56" s="866">
        <f>'2. &amp; 7. T2 TULOSSUUN. '!O13/1000</f>
        <v>0</v>
      </c>
      <c r="O56" s="1401"/>
      <c r="Q56" s="855"/>
      <c r="R56" s="912" t="s">
        <v>594</v>
      </c>
      <c r="S56" s="912"/>
      <c r="T56" s="912"/>
      <c r="U56" s="874"/>
      <c r="V56" s="866">
        <f>'8. T4 RAHOITUSSUUN. '!H17/1000</f>
        <v>0</v>
      </c>
      <c r="W56" s="866">
        <f>'8. T4 RAHOITUSSUUN. '!I17/1000</f>
        <v>0</v>
      </c>
      <c r="X56" s="866">
        <f>'8. T4 RAHOITUSSUUN. '!J17/1000</f>
        <v>0</v>
      </c>
      <c r="Y56" s="866">
        <f>'8. T4 RAHOITUSSUUN. '!K17/1000</f>
        <v>0</v>
      </c>
      <c r="AA56" s="892" t="str">
        <f>'4. T7 LAINAT '!B36</f>
        <v xml:space="preserve"> Rahoittaja/rahoitettava kohde</v>
      </c>
      <c r="AB56" s="1489">
        <f>'4. T7 LAINAT '!C36/1000</f>
        <v>0</v>
      </c>
      <c r="AC56" s="909">
        <f>'4. T7 LAINAT '!D36</f>
        <v>0</v>
      </c>
      <c r="AD56" s="1493">
        <f>'4. T7 LAINAT '!E36*100</f>
        <v>0</v>
      </c>
      <c r="AE56" s="1491"/>
      <c r="AF56" s="866"/>
      <c r="AG56" s="1469"/>
      <c r="AH56" s="1489"/>
      <c r="AI56" s="866"/>
      <c r="AJ56" s="1492"/>
      <c r="AK56" s="1491"/>
      <c r="AL56" s="866"/>
      <c r="AM56" s="1469"/>
      <c r="AN56" s="1489">
        <f>'4. T7 LAINAT '!O36/1000</f>
        <v>0</v>
      </c>
      <c r="AO56" s="866">
        <f>'4. T7 LAINAT '!P36/1000</f>
        <v>0</v>
      </c>
      <c r="AP56" s="1490">
        <f>'4. T7 LAINAT '!Q36/1000</f>
        <v>0</v>
      </c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</row>
    <row r="57" spans="2:54" ht="11.25" customHeight="1" x14ac:dyDescent="0.2">
      <c r="B57" s="1385" t="s">
        <v>5</v>
      </c>
      <c r="C57" s="875" t="s">
        <v>84</v>
      </c>
      <c r="D57" s="877">
        <f>'2. &amp; 7. T2 TULOSSUUN. '!E14/1000</f>
        <v>0</v>
      </c>
      <c r="E57" s="871">
        <v>100</v>
      </c>
      <c r="F57" s="877">
        <f>'2. &amp; 7. T2 TULOSSUUN. '!G14/1000</f>
        <v>0</v>
      </c>
      <c r="G57" s="871">
        <v>100</v>
      </c>
      <c r="H57" s="877">
        <f>'2. &amp; 7. T2 TULOSSUUN. '!I14/1000</f>
        <v>0</v>
      </c>
      <c r="I57" s="871">
        <v>100</v>
      </c>
      <c r="J57" s="877">
        <f>'2. &amp; 7. T2 TULOSSUUN. '!K14/1000</f>
        <v>0</v>
      </c>
      <c r="K57" s="871">
        <v>100</v>
      </c>
      <c r="L57" s="877">
        <f>'2. &amp; 7. T2 TULOSSUUN. '!M14/1000</f>
        <v>0</v>
      </c>
      <c r="M57" s="871">
        <v>100</v>
      </c>
      <c r="N57" s="877">
        <f>'2. &amp; 7. T2 TULOSSUUN. '!O14/1000</f>
        <v>0</v>
      </c>
      <c r="O57" s="1402">
        <v>100</v>
      </c>
      <c r="Q57" s="855"/>
      <c r="R57" s="2093" t="s">
        <v>595</v>
      </c>
      <c r="S57" s="2093"/>
      <c r="T57" s="2093"/>
      <c r="U57" s="2094"/>
      <c r="V57" s="866">
        <f>'8. T4 RAHOITUSSUUN. '!H18/1000</f>
        <v>0</v>
      </c>
      <c r="W57" s="866">
        <f>'8. T4 RAHOITUSSUUN. '!I18/1000</f>
        <v>0</v>
      </c>
      <c r="X57" s="866">
        <f>'8. T4 RAHOITUSSUUN. '!J18/1000</f>
        <v>0</v>
      </c>
      <c r="Y57" s="866">
        <f>'8. T4 RAHOITUSSUUN. '!K18/1000</f>
        <v>0</v>
      </c>
      <c r="AA57" s="912">
        <f>'4. T7 LAINAT '!B37</f>
        <v>0</v>
      </c>
      <c r="AB57" s="1489">
        <f>'4. T7 LAINAT '!C37/1000</f>
        <v>0</v>
      </c>
      <c r="AC57" s="910">
        <f>'4. T7 LAINAT '!D37</f>
        <v>0</v>
      </c>
      <c r="AD57" s="1493">
        <f>'4. T7 LAINAT '!E37*100</f>
        <v>0</v>
      </c>
      <c r="AE57" s="1491"/>
      <c r="AF57" s="866"/>
      <c r="AG57" s="1469"/>
      <c r="AH57" s="1489"/>
      <c r="AI57" s="866"/>
      <c r="AJ57" s="1492"/>
      <c r="AK57" s="1491"/>
      <c r="AL57" s="866"/>
      <c r="AM57" s="1469"/>
      <c r="AN57" s="1489">
        <f>'4. T7 LAINAT '!O37/1000</f>
        <v>0</v>
      </c>
      <c r="AO57" s="866">
        <f>'4. T7 LAINAT '!P37/1000</f>
        <v>0</v>
      </c>
      <c r="AP57" s="1490">
        <f>'4. T7 LAINAT '!Q37/1000</f>
        <v>0</v>
      </c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</row>
    <row r="58" spans="2:54" ht="11.25" customHeight="1" thickBot="1" x14ac:dyDescent="0.25">
      <c r="B58" s="1385" t="s">
        <v>6</v>
      </c>
      <c r="C58" s="874" t="s">
        <v>81</v>
      </c>
      <c r="D58" s="866">
        <f>'2. &amp; 7. T2 TULOSSUUN. '!E15/1000</f>
        <v>0</v>
      </c>
      <c r="E58" s="870">
        <f>'2. &amp; 7. T2 TULOSSUUN. '!F15</f>
        <v>0</v>
      </c>
      <c r="F58" s="866">
        <f>'2. &amp; 7. T2 TULOSSUUN. '!G15/1000</f>
        <v>0</v>
      </c>
      <c r="G58" s="870">
        <f>'2. &amp; 7. T2 TULOSSUUN. '!H15</f>
        <v>0</v>
      </c>
      <c r="H58" s="866">
        <f>'2. &amp; 7. T2 TULOSSUUN. '!I15/1000</f>
        <v>0</v>
      </c>
      <c r="I58" s="870">
        <f>'2. &amp; 7. T2 TULOSSUUN. '!J15</f>
        <v>0</v>
      </c>
      <c r="J58" s="866">
        <f>'2. &amp; 7. T2 TULOSSUUN. '!K15/1000</f>
        <v>0</v>
      </c>
      <c r="K58" s="870">
        <f>'2. &amp; 7. T2 TULOSSUUN. '!L15</f>
        <v>0</v>
      </c>
      <c r="L58" s="866">
        <f>'2. &amp; 7. T2 TULOSSUUN. '!M15/1000</f>
        <v>0</v>
      </c>
      <c r="M58" s="870">
        <f>'2. &amp; 7. T2 TULOSSUUN. '!N15</f>
        <v>0</v>
      </c>
      <c r="N58" s="866">
        <f>'2. &amp; 7. T2 TULOSSUUN. '!O15/1000</f>
        <v>0</v>
      </c>
      <c r="O58" s="1401">
        <f>'2. &amp; 7. T2 TULOSSUUN. '!P15</f>
        <v>0</v>
      </c>
      <c r="Q58" s="855"/>
      <c r="R58" s="2093" t="s">
        <v>596</v>
      </c>
      <c r="S58" s="2093"/>
      <c r="T58" s="2093"/>
      <c r="U58" s="2094"/>
      <c r="V58" s="866">
        <f>'8. T4 RAHOITUSSUUN. '!H19/1000</f>
        <v>0</v>
      </c>
      <c r="W58" s="866">
        <f>'8. T4 RAHOITUSSUUN. '!I19/1000</f>
        <v>0</v>
      </c>
      <c r="X58" s="866">
        <f>'8. T4 RAHOITUSSUUN. '!J19/1000</f>
        <v>0</v>
      </c>
      <c r="Y58" s="866">
        <f>'8. T4 RAHOITUSSUUN. '!K19/1000</f>
        <v>0</v>
      </c>
      <c r="AA58" s="1537">
        <f>'4. T7 LAINAT '!B38</f>
        <v>0</v>
      </c>
      <c r="AB58" s="1538">
        <f>'4. T7 LAINAT '!C38/1000</f>
        <v>0</v>
      </c>
      <c r="AC58" s="1254">
        <f>'4. T7 LAINAT '!D38</f>
        <v>0</v>
      </c>
      <c r="AD58" s="1539">
        <f>'4. T7 LAINAT '!E38*100</f>
        <v>0</v>
      </c>
      <c r="AE58" s="1540"/>
      <c r="AF58" s="1255"/>
      <c r="AG58" s="1502"/>
      <c r="AH58" s="1538"/>
      <c r="AI58" s="1255"/>
      <c r="AJ58" s="1541"/>
      <c r="AK58" s="1540"/>
      <c r="AL58" s="1255"/>
      <c r="AM58" s="1502"/>
      <c r="AN58" s="1538">
        <f>'4. T7 LAINAT '!O38/1000</f>
        <v>0</v>
      </c>
      <c r="AO58" s="1255">
        <f>'4. T7 LAINAT '!P38/1000</f>
        <v>0</v>
      </c>
      <c r="AP58" s="1542">
        <f>'4. T7 LAINAT '!Q38/1000</f>
        <v>0</v>
      </c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</row>
    <row r="59" spans="2:54" ht="11.25" customHeight="1" thickTop="1" x14ac:dyDescent="0.2">
      <c r="B59" s="1385" t="s">
        <v>7</v>
      </c>
      <c r="C59" s="874" t="s">
        <v>82</v>
      </c>
      <c r="D59" s="866">
        <f>'2. &amp; 7. T2 TULOSSUUN. '!E16/1000</f>
        <v>0</v>
      </c>
      <c r="E59" s="870">
        <f>'2. &amp; 7. T2 TULOSSUUN. '!F16</f>
        <v>0</v>
      </c>
      <c r="F59" s="866">
        <f>'2. &amp; 7. T2 TULOSSUUN. '!G16/1000</f>
        <v>0</v>
      </c>
      <c r="G59" s="870">
        <f>'2. &amp; 7. T2 TULOSSUUN. '!H16</f>
        <v>0</v>
      </c>
      <c r="H59" s="866">
        <f>'2. &amp; 7. T2 TULOSSUUN. '!I16/1000</f>
        <v>0</v>
      </c>
      <c r="I59" s="870">
        <f>'2. &amp; 7. T2 TULOSSUUN. '!J16</f>
        <v>0</v>
      </c>
      <c r="J59" s="866">
        <f>'2. &amp; 7. T2 TULOSSUUN. '!K16/1000</f>
        <v>0</v>
      </c>
      <c r="K59" s="870">
        <f>'2. &amp; 7. T2 TULOSSUUN. '!L16</f>
        <v>0</v>
      </c>
      <c r="L59" s="866">
        <f>'2. &amp; 7. T2 TULOSSUUN. '!M16/1000</f>
        <v>0</v>
      </c>
      <c r="M59" s="870">
        <f>'2. &amp; 7. T2 TULOSSUUN. '!N16</f>
        <v>0</v>
      </c>
      <c r="N59" s="866">
        <f>'2. &amp; 7. T2 TULOSSUUN. '!O16/1000</f>
        <v>0</v>
      </c>
      <c r="O59" s="1401">
        <f>'2. &amp; 7. T2 TULOSSUUN. '!P16</f>
        <v>0</v>
      </c>
      <c r="Q59" s="855"/>
      <c r="R59" s="2116" t="s">
        <v>597</v>
      </c>
      <c r="S59" s="2116"/>
      <c r="T59" s="2116"/>
      <c r="U59" s="2117"/>
      <c r="V59" s="866">
        <f>'8. T4 RAHOITUSSUUN. '!H20/1000</f>
        <v>0</v>
      </c>
      <c r="W59" s="866">
        <f>'8. T4 RAHOITUSSUUN. '!I20/1000</f>
        <v>0</v>
      </c>
      <c r="X59" s="866">
        <f>'8. T4 RAHOITUSSUUN. '!J20/1000</f>
        <v>0</v>
      </c>
      <c r="Y59" s="866">
        <f>'8. T4 RAHOITUSSUUN. '!K20/1000</f>
        <v>0</v>
      </c>
      <c r="AA59" s="1529" t="str">
        <f>'4. T7 LAINAT '!B39</f>
        <v xml:space="preserve"> Uudet lainat yhteensä</v>
      </c>
      <c r="AB59" s="1530">
        <f>SUM(AB44:AB58)</f>
        <v>0</v>
      </c>
      <c r="AC59" s="1531">
        <v>0</v>
      </c>
      <c r="AD59" s="1532">
        <v>0</v>
      </c>
      <c r="AE59" s="1533">
        <f t="shared" ref="AE59:AM59" si="2">SUM(AE44:AE58)</f>
        <v>0</v>
      </c>
      <c r="AF59" s="1534">
        <f t="shared" si="2"/>
        <v>0</v>
      </c>
      <c r="AG59" s="1535">
        <f t="shared" si="2"/>
        <v>0</v>
      </c>
      <c r="AH59" s="1530">
        <f t="shared" si="2"/>
        <v>0</v>
      </c>
      <c r="AI59" s="1534">
        <f t="shared" si="2"/>
        <v>0</v>
      </c>
      <c r="AJ59" s="1536">
        <f t="shared" si="2"/>
        <v>0</v>
      </c>
      <c r="AK59" s="1533">
        <f t="shared" si="2"/>
        <v>0</v>
      </c>
      <c r="AL59" s="1534">
        <f t="shared" si="2"/>
        <v>0</v>
      </c>
      <c r="AM59" s="1535">
        <f t="shared" si="2"/>
        <v>0</v>
      </c>
      <c r="AN59" s="1530">
        <f>SUM(AN44:AN58)</f>
        <v>0</v>
      </c>
      <c r="AO59" s="1534">
        <f>SUM(AO44:AO58)</f>
        <v>0</v>
      </c>
      <c r="AP59" s="1536">
        <f>SUM(AP44:AP58)</f>
        <v>0</v>
      </c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</row>
    <row r="60" spans="2:54" ht="11.25" customHeight="1" x14ac:dyDescent="0.2">
      <c r="B60" s="1385" t="s">
        <v>8</v>
      </c>
      <c r="C60" s="874" t="s">
        <v>13</v>
      </c>
      <c r="D60" s="866">
        <f>'2. &amp; 7. T2 TULOSSUUN. '!E17/1000</f>
        <v>0</v>
      </c>
      <c r="E60" s="870">
        <f>'2. &amp; 7. T2 TULOSSUUN. '!F17</f>
        <v>0</v>
      </c>
      <c r="F60" s="866">
        <f>'2. &amp; 7. T2 TULOSSUUN. '!G17/1000</f>
        <v>0</v>
      </c>
      <c r="G60" s="870">
        <f>'2. &amp; 7. T2 TULOSSUUN. '!H17</f>
        <v>0</v>
      </c>
      <c r="H60" s="866">
        <f>'2. &amp; 7. T2 TULOSSUUN. '!I17/1000</f>
        <v>0</v>
      </c>
      <c r="I60" s="870">
        <f>'2. &amp; 7. T2 TULOSSUUN. '!J17</f>
        <v>0</v>
      </c>
      <c r="J60" s="866">
        <f>'2. &amp; 7. T2 TULOSSUUN. '!K17/1000</f>
        <v>0</v>
      </c>
      <c r="K60" s="870">
        <f>'2. &amp; 7. T2 TULOSSUUN. '!L17</f>
        <v>0</v>
      </c>
      <c r="L60" s="866">
        <f>'2. &amp; 7. T2 TULOSSUUN. '!M17/1000</f>
        <v>0</v>
      </c>
      <c r="M60" s="870">
        <f>'2. &amp; 7. T2 TULOSSUUN. '!N17</f>
        <v>0</v>
      </c>
      <c r="N60" s="866">
        <f>'2. &amp; 7. T2 TULOSSUUN. '!O17/1000</f>
        <v>0</v>
      </c>
      <c r="O60" s="1401">
        <f>'2. &amp; 7. T2 TULOSSUUN. '!P17</f>
        <v>0</v>
      </c>
      <c r="Q60" s="878"/>
      <c r="R60" s="893" t="s">
        <v>598</v>
      </c>
      <c r="S60" s="893"/>
      <c r="T60" s="894"/>
      <c r="U60" s="875"/>
      <c r="V60" s="877">
        <f>'8. T4 RAHOITUSSUUN. '!H21/1000</f>
        <v>0</v>
      </c>
      <c r="W60" s="877">
        <f>'8. T4 RAHOITUSSUUN. '!I21/1000</f>
        <v>0</v>
      </c>
      <c r="X60" s="877">
        <f>'8. T4 RAHOITUSSUUN. '!J21/1000</f>
        <v>0</v>
      </c>
      <c r="Y60" s="877">
        <f>'8. T4 RAHOITUSSUUN. '!K21/1000</f>
        <v>0</v>
      </c>
      <c r="AA60" s="854"/>
      <c r="AB60" s="755"/>
      <c r="AC60" s="756"/>
      <c r="AD60" s="756"/>
      <c r="AE60" s="757"/>
      <c r="AF60" s="757"/>
      <c r="AG60" s="757"/>
      <c r="AH60" s="757"/>
      <c r="AI60" s="757"/>
      <c r="AJ60" s="757"/>
      <c r="AK60" s="757"/>
      <c r="AL60" s="757"/>
      <c r="AM60" s="757"/>
      <c r="AN60" s="757"/>
      <c r="AO60" s="757"/>
      <c r="AP60" s="757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</row>
    <row r="61" spans="2:54" ht="11.25" customHeight="1" x14ac:dyDescent="0.2">
      <c r="B61" s="1385" t="s">
        <v>9</v>
      </c>
      <c r="C61" s="913" t="s">
        <v>83</v>
      </c>
      <c r="D61" s="866">
        <f>'2. &amp; 7. T2 TULOSSUUN. '!E18/1000</f>
        <v>0</v>
      </c>
      <c r="E61" s="870">
        <f>'2. &amp; 7. T2 TULOSSUUN. '!F18</f>
        <v>0</v>
      </c>
      <c r="F61" s="866">
        <f>'2. &amp; 7. T2 TULOSSUUN. '!G18/1000</f>
        <v>0</v>
      </c>
      <c r="G61" s="870">
        <f>'2. &amp; 7. T2 TULOSSUUN. '!H18</f>
        <v>0</v>
      </c>
      <c r="H61" s="866">
        <f>'2. &amp; 7. T2 TULOSSUUN. '!I18/1000</f>
        <v>0</v>
      </c>
      <c r="I61" s="870">
        <f>'2. &amp; 7. T2 TULOSSUUN. '!J18</f>
        <v>0</v>
      </c>
      <c r="J61" s="866">
        <f>'2. &amp; 7. T2 TULOSSUUN. '!K18/1000</f>
        <v>0</v>
      </c>
      <c r="K61" s="870">
        <f>'2. &amp; 7. T2 TULOSSUUN. '!L18</f>
        <v>0</v>
      </c>
      <c r="L61" s="866">
        <f>'2. &amp; 7. T2 TULOSSUUN. '!M18/1000</f>
        <v>0</v>
      </c>
      <c r="M61" s="870">
        <f>'2. &amp; 7. T2 TULOSSUUN. '!N18</f>
        <v>0</v>
      </c>
      <c r="N61" s="866">
        <f>'2. &amp; 7. T2 TULOSSUUN. '!O18/1000</f>
        <v>0</v>
      </c>
      <c r="O61" s="1401">
        <f>'2. &amp; 7. T2 TULOSSUUN. '!P18</f>
        <v>0</v>
      </c>
      <c r="Q61" s="830" t="s">
        <v>351</v>
      </c>
      <c r="R61" s="756"/>
      <c r="S61" s="756"/>
      <c r="T61" s="854"/>
      <c r="U61" s="854"/>
      <c r="V61" s="887"/>
      <c r="W61" s="887"/>
      <c r="X61" s="887"/>
      <c r="Y61" s="887"/>
      <c r="AA61" s="2102" t="str">
        <f>'4. T7 LAINAT '!B40</f>
        <v xml:space="preserve"> UUDET OSAMAKSUVELAT</v>
      </c>
      <c r="AB61" s="2139" t="s">
        <v>560</v>
      </c>
      <c r="AC61" s="2140" t="s">
        <v>615</v>
      </c>
      <c r="AD61" s="2140" t="s">
        <v>123</v>
      </c>
      <c r="AE61" s="2141">
        <f>AE41</f>
        <v>2024</v>
      </c>
      <c r="AF61" s="2037"/>
      <c r="AG61" s="2142"/>
      <c r="AH61" s="2037">
        <f>AH41</f>
        <v>2025</v>
      </c>
      <c r="AI61" s="2037"/>
      <c r="AJ61" s="2037"/>
      <c r="AK61" s="2141">
        <f>AK41</f>
        <v>2026</v>
      </c>
      <c r="AL61" s="2037"/>
      <c r="AM61" s="2142"/>
      <c r="AN61" s="2037">
        <f>AN41</f>
        <v>2027</v>
      </c>
      <c r="AO61" s="2037"/>
      <c r="AP61" s="2037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</row>
    <row r="62" spans="2:54" ht="11.25" customHeight="1" x14ac:dyDescent="0.2">
      <c r="B62" s="1385" t="s">
        <v>10</v>
      </c>
      <c r="C62" s="913" t="s">
        <v>95</v>
      </c>
      <c r="D62" s="866">
        <f>'2. &amp; 7. T2 TULOSSUUN. '!E19/1000</f>
        <v>0</v>
      </c>
      <c r="E62" s="870">
        <f>'2. &amp; 7. T2 TULOSSUUN. '!F19</f>
        <v>0</v>
      </c>
      <c r="F62" s="866">
        <f>'2. &amp; 7. T2 TULOSSUUN. '!G19/1000</f>
        <v>0</v>
      </c>
      <c r="G62" s="870">
        <f>'2. &amp; 7. T2 TULOSSUUN. '!H19</f>
        <v>0</v>
      </c>
      <c r="H62" s="866">
        <f>'2. &amp; 7. T2 TULOSSUUN. '!I19/1000</f>
        <v>0</v>
      </c>
      <c r="I62" s="870">
        <f>'2. &amp; 7. T2 TULOSSUUN. '!J19</f>
        <v>0</v>
      </c>
      <c r="J62" s="866">
        <f>'2. &amp; 7. T2 TULOSSUUN. '!K19/1000</f>
        <v>0</v>
      </c>
      <c r="K62" s="870">
        <f>'2. &amp; 7. T2 TULOSSUUN. '!L19</f>
        <v>0</v>
      </c>
      <c r="L62" s="866">
        <f>'2. &amp; 7. T2 TULOSSUUN. '!M19/1000</f>
        <v>0</v>
      </c>
      <c r="M62" s="870">
        <f>'2. &amp; 7. T2 TULOSSUUN. '!N19</f>
        <v>0</v>
      </c>
      <c r="N62" s="866">
        <f>'2. &amp; 7. T2 TULOSSUUN. '!O19/1000</f>
        <v>0</v>
      </c>
      <c r="O62" s="1401">
        <f>'2. &amp; 7. T2 TULOSSUUN. '!P19</f>
        <v>0</v>
      </c>
      <c r="Q62" s="855"/>
      <c r="R62" s="2111" t="s">
        <v>599</v>
      </c>
      <c r="S62" s="2111"/>
      <c r="T62" s="2111"/>
      <c r="U62" s="2112"/>
      <c r="V62" s="866">
        <f>('8. T4 RAHOITUSSUUN. '!H24+'8. T4 RAHOITUSSUUN. '!H25+'8. T4 RAHOITUSSUUN. '!H26+'8. T4 RAHOITUSSUUN. '!H27)/1000</f>
        <v>0</v>
      </c>
      <c r="W62" s="866">
        <f>('8. T4 RAHOITUSSUUN. '!I24+'8. T4 RAHOITUSSUUN. '!I25+'8. T4 RAHOITUSSUUN. '!I26+'8. T4 RAHOITUSSUUN. '!I27)/1000</f>
        <v>0</v>
      </c>
      <c r="X62" s="866">
        <f>('8. T4 RAHOITUSSUUN. '!J24+'8. T4 RAHOITUSSUUN. '!J25+'8. T4 RAHOITUSSUUN. '!J26+'8. T4 RAHOITUSSUUN. '!J27)/1000</f>
        <v>0</v>
      </c>
      <c r="Y62" s="866">
        <f>('8. T4 RAHOITUSSUUN. '!K24+'8. T4 RAHOITUSSUUN. '!K25+'8. T4 RAHOITUSSUUN. '!K26+'8. T4 RAHOITUSSUUN. '!K27)/1000</f>
        <v>0</v>
      </c>
      <c r="AA62" s="2102"/>
      <c r="AB62" s="2139"/>
      <c r="AC62" s="2140"/>
      <c r="AD62" s="2140"/>
      <c r="AE62" s="1517" t="s">
        <v>129</v>
      </c>
      <c r="AF62" s="1372" t="s">
        <v>134</v>
      </c>
      <c r="AG62" s="1508" t="s">
        <v>126</v>
      </c>
      <c r="AH62" s="1372" t="s">
        <v>129</v>
      </c>
      <c r="AI62" s="1372" t="s">
        <v>134</v>
      </c>
      <c r="AJ62" s="1372" t="s">
        <v>126</v>
      </c>
      <c r="AK62" s="1507" t="s">
        <v>129</v>
      </c>
      <c r="AL62" s="1372" t="s">
        <v>134</v>
      </c>
      <c r="AM62" s="1508" t="s">
        <v>126</v>
      </c>
      <c r="AN62" s="1373" t="s">
        <v>129</v>
      </c>
      <c r="AO62" s="1373" t="s">
        <v>134</v>
      </c>
      <c r="AP62" s="1374" t="s">
        <v>126</v>
      </c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</row>
    <row r="63" spans="2:54" ht="11.25" customHeight="1" x14ac:dyDescent="0.2">
      <c r="B63" s="1385" t="s">
        <v>11</v>
      </c>
      <c r="C63" s="876" t="s">
        <v>85</v>
      </c>
      <c r="D63" s="877">
        <f>'2. &amp; 7. T2 TULOSSUUN. '!E20/1000</f>
        <v>0</v>
      </c>
      <c r="E63" s="1377">
        <f>'2. &amp; 7. T2 TULOSSUUN. '!F20</f>
        <v>0</v>
      </c>
      <c r="F63" s="877">
        <f>'2. &amp; 7. T2 TULOSSUUN. '!G20/1000</f>
        <v>0</v>
      </c>
      <c r="G63" s="1377">
        <f>'2. &amp; 7. T2 TULOSSUUN. '!H20</f>
        <v>0</v>
      </c>
      <c r="H63" s="877">
        <f>'2. &amp; 7. T2 TULOSSUUN. '!I20/1000</f>
        <v>0</v>
      </c>
      <c r="I63" s="1377">
        <f>'2. &amp; 7. T2 TULOSSUUN. '!J20</f>
        <v>0</v>
      </c>
      <c r="J63" s="877">
        <f>'2. &amp; 7. T2 TULOSSUUN. '!K20/1000</f>
        <v>0</v>
      </c>
      <c r="K63" s="1377">
        <f>'2. &amp; 7. T2 TULOSSUUN. '!L20</f>
        <v>0</v>
      </c>
      <c r="L63" s="877">
        <f>'2. &amp; 7. T2 TULOSSUUN. '!M20/1000</f>
        <v>0</v>
      </c>
      <c r="M63" s="1377">
        <f>'2. &amp; 7. T2 TULOSSUUN. '!N20</f>
        <v>0</v>
      </c>
      <c r="N63" s="877">
        <f>'2. &amp; 7. T2 TULOSSUUN. '!O20/1000</f>
        <v>0</v>
      </c>
      <c r="O63" s="1403">
        <f>'2. &amp; 7. T2 TULOSSUUN. '!P20</f>
        <v>0</v>
      </c>
      <c r="Q63" s="855"/>
      <c r="R63" s="2093" t="s">
        <v>600</v>
      </c>
      <c r="S63" s="2093"/>
      <c r="T63" s="2093"/>
      <c r="U63" s="2094"/>
      <c r="V63" s="866">
        <f>'8. T4 RAHOITUSSUUN. '!H28/1000</f>
        <v>0</v>
      </c>
      <c r="W63" s="866">
        <f>'8. T4 RAHOITUSSUUN. '!I28/1000</f>
        <v>0</v>
      </c>
      <c r="X63" s="866">
        <f>'8. T4 RAHOITUSSUUN. '!J28/1000</f>
        <v>0</v>
      </c>
      <c r="Y63" s="866">
        <f>'8. T4 RAHOITUSSUUN. '!K28/1000</f>
        <v>0</v>
      </c>
      <c r="AA63" s="892" t="str">
        <f>'4. T7 LAINAT '!B41</f>
        <v xml:space="preserve"> Rahoittaja/rahoitettava kohde 1. vuosi</v>
      </c>
      <c r="AB63" s="1497">
        <f>'4. T7 LAINAT '!C41/1000</f>
        <v>0</v>
      </c>
      <c r="AC63" s="909">
        <f>'4. T7 LAINAT '!D41</f>
        <v>0</v>
      </c>
      <c r="AD63" s="1518">
        <f>'4. T7 LAINAT '!E41*100</f>
        <v>0</v>
      </c>
      <c r="AE63" s="1497">
        <f>'4. T7 LAINAT '!F41/1000</f>
        <v>0</v>
      </c>
      <c r="AF63" s="866">
        <f>'4. T7 LAINAT '!G41/1000</f>
        <v>0</v>
      </c>
      <c r="AG63" s="1509">
        <f>'4. T7 LAINAT '!H41/1000</f>
        <v>0</v>
      </c>
      <c r="AH63" s="1494"/>
      <c r="AI63" s="866">
        <f>'4. T7 LAINAT '!J41/1000</f>
        <v>0</v>
      </c>
      <c r="AJ63" s="1469">
        <f>'4. T7 LAINAT '!K41/1000</f>
        <v>0</v>
      </c>
      <c r="AK63" s="1497"/>
      <c r="AL63" s="866">
        <f>'4. T7 LAINAT '!M41/1000</f>
        <v>0</v>
      </c>
      <c r="AM63" s="1509">
        <f>'4. T7 LAINAT '!N41/1000</f>
        <v>0</v>
      </c>
      <c r="AN63" s="1494"/>
      <c r="AO63" s="866">
        <f>'4. T7 LAINAT '!P41/1000</f>
        <v>0</v>
      </c>
      <c r="AP63" s="866">
        <f>'4. T7 LAINAT '!Q41/1000</f>
        <v>0</v>
      </c>
      <c r="AQ63" s="79"/>
      <c r="AT63" s="1044"/>
      <c r="AU63" s="1044"/>
      <c r="AV63" s="1044"/>
      <c r="AW63" s="1044"/>
      <c r="AX63" s="1044"/>
      <c r="AY63" s="1044"/>
      <c r="AZ63" s="1044"/>
      <c r="BB63" s="158"/>
    </row>
    <row r="64" spans="2:54" ht="11.25" customHeight="1" x14ac:dyDescent="0.2">
      <c r="B64" s="1385" t="s">
        <v>170</v>
      </c>
      <c r="C64" s="913" t="s">
        <v>368</v>
      </c>
      <c r="D64" s="866">
        <f>'2. &amp; 7. T2 TULOSSUUN. '!E21/1000</f>
        <v>0</v>
      </c>
      <c r="E64" s="870">
        <f>'2. &amp; 7. T2 TULOSSUUN. '!F21</f>
        <v>0</v>
      </c>
      <c r="F64" s="866">
        <f>'2. &amp; 7. T2 TULOSSUUN. '!G21/1000</f>
        <v>0</v>
      </c>
      <c r="G64" s="870">
        <f>'2. &amp; 7. T2 TULOSSUUN. '!H21</f>
        <v>0</v>
      </c>
      <c r="H64" s="866">
        <f>'2. &amp; 7. T2 TULOSSUUN. '!I21/1000</f>
        <v>0</v>
      </c>
      <c r="I64" s="870">
        <f>'2. &amp; 7. T2 TULOSSUUN. '!J21</f>
        <v>0</v>
      </c>
      <c r="J64" s="866">
        <f>'2. &amp; 7. T2 TULOSSUUN. '!K21/1000</f>
        <v>0</v>
      </c>
      <c r="K64" s="870">
        <f>'2. &amp; 7. T2 TULOSSUUN. '!L21</f>
        <v>0</v>
      </c>
      <c r="L64" s="866">
        <f>'2. &amp; 7. T2 TULOSSUUN. '!M21/1000</f>
        <v>0</v>
      </c>
      <c r="M64" s="870">
        <f>'2. &amp; 7. T2 TULOSSUUN. '!N21</f>
        <v>0</v>
      </c>
      <c r="N64" s="866">
        <f>'2. &amp; 7. T2 TULOSSUUN. '!O21/1000</f>
        <v>0</v>
      </c>
      <c r="O64" s="1401">
        <f>'2. &amp; 7. T2 TULOSSUUN. '!P21</f>
        <v>0</v>
      </c>
      <c r="Q64" s="855"/>
      <c r="R64" s="2093" t="s">
        <v>601</v>
      </c>
      <c r="S64" s="2093"/>
      <c r="T64" s="2093"/>
      <c r="U64" s="2094"/>
      <c r="V64" s="866">
        <f>'8. T4 RAHOITUSSUUN. '!H29/1000</f>
        <v>0</v>
      </c>
      <c r="W64" s="866">
        <f>'8. T4 RAHOITUSSUUN. '!I29/1000</f>
        <v>0</v>
      </c>
      <c r="X64" s="866">
        <f>'8. T4 RAHOITUSSUUN. '!J29/1000</f>
        <v>0</v>
      </c>
      <c r="Y64" s="866">
        <f>'8. T4 RAHOITUSSUUN. '!K29/1000</f>
        <v>0</v>
      </c>
      <c r="AA64" s="912" t="str">
        <f>'4. T7 LAINAT '!B42</f>
        <v xml:space="preserve"> Rahoittaja/rahoitettava kohde 2. vuosi</v>
      </c>
      <c r="AB64" s="1497">
        <f>'4. T7 LAINAT '!C42/1000</f>
        <v>0</v>
      </c>
      <c r="AC64" s="909">
        <f>'4. T7 LAINAT '!D42</f>
        <v>0</v>
      </c>
      <c r="AD64" s="1518">
        <f>'4. T7 LAINAT '!E42*100</f>
        <v>0</v>
      </c>
      <c r="AE64" s="1497"/>
      <c r="AF64" s="866"/>
      <c r="AG64" s="1509"/>
      <c r="AH64" s="1494">
        <f>'4. T7 LAINAT '!I42/1000</f>
        <v>0</v>
      </c>
      <c r="AI64" s="866">
        <f>'4. T7 LAINAT '!J42/1000</f>
        <v>0</v>
      </c>
      <c r="AJ64" s="1469">
        <f>'4. T7 LAINAT '!K42/1000</f>
        <v>0</v>
      </c>
      <c r="AK64" s="1497"/>
      <c r="AL64" s="866">
        <f>'4. T7 LAINAT '!M42/1000</f>
        <v>0</v>
      </c>
      <c r="AM64" s="1509">
        <f>'4. T7 LAINAT '!N42/1000</f>
        <v>0</v>
      </c>
      <c r="AN64" s="1494"/>
      <c r="AO64" s="866">
        <f>'4. T7 LAINAT '!P42/1000</f>
        <v>0</v>
      </c>
      <c r="AP64" s="866">
        <f>'4. T7 LAINAT '!Q42/1000</f>
        <v>0</v>
      </c>
    </row>
    <row r="65" spans="2:61" ht="11.25" customHeight="1" x14ac:dyDescent="0.2">
      <c r="B65" s="1385" t="s">
        <v>171</v>
      </c>
      <c r="C65" s="876" t="s">
        <v>369</v>
      </c>
      <c r="D65" s="877">
        <f>'2. &amp; 7. T2 TULOSSUUN. '!E22/1000</f>
        <v>0</v>
      </c>
      <c r="E65" s="1377">
        <f>'2. &amp; 7. T2 TULOSSUUN. '!F22</f>
        <v>0</v>
      </c>
      <c r="F65" s="877">
        <f>'2. &amp; 7. T2 TULOSSUUN. '!G22/1000</f>
        <v>0</v>
      </c>
      <c r="G65" s="1377">
        <f>'2. &amp; 7. T2 TULOSSUUN. '!H22</f>
        <v>0</v>
      </c>
      <c r="H65" s="877">
        <f>'2. &amp; 7. T2 TULOSSUUN. '!I22/1000</f>
        <v>0</v>
      </c>
      <c r="I65" s="1377">
        <f>'2. &amp; 7. T2 TULOSSUUN. '!J22</f>
        <v>0</v>
      </c>
      <c r="J65" s="877">
        <f>'2. &amp; 7. T2 TULOSSUUN. '!K22/1000</f>
        <v>0</v>
      </c>
      <c r="K65" s="1377">
        <f>'2. &amp; 7. T2 TULOSSUUN. '!L22</f>
        <v>0</v>
      </c>
      <c r="L65" s="877">
        <f>'2. &amp; 7. T2 TULOSSUUN. '!M22/1000</f>
        <v>0</v>
      </c>
      <c r="M65" s="1377">
        <f>'2. &amp; 7. T2 TULOSSUUN. '!N22</f>
        <v>0</v>
      </c>
      <c r="N65" s="877">
        <f>'2. &amp; 7. T2 TULOSSUUN. '!O22/1000</f>
        <v>0</v>
      </c>
      <c r="O65" s="1403">
        <f>'2. &amp; 7. T2 TULOSSUUN. '!P22</f>
        <v>0</v>
      </c>
      <c r="Q65" s="855"/>
      <c r="R65" s="2116" t="s">
        <v>602</v>
      </c>
      <c r="S65" s="2116"/>
      <c r="T65" s="2116"/>
      <c r="U65" s="2117"/>
      <c r="V65" s="866">
        <f>'8. T4 RAHOITUSSUUN. '!H30/1000</f>
        <v>0</v>
      </c>
      <c r="W65" s="866">
        <f>'8. T4 RAHOITUSSUUN. '!I30/1000</f>
        <v>0</v>
      </c>
      <c r="X65" s="866">
        <f>'8. T4 RAHOITUSSUUN. '!J30/1000</f>
        <v>0</v>
      </c>
      <c r="Y65" s="866">
        <f>'8. T4 RAHOITUSSUUN. '!K30/1000</f>
        <v>0</v>
      </c>
      <c r="AA65" s="865" t="str">
        <f>'4. T7 LAINAT '!B43</f>
        <v xml:space="preserve"> Rahoittaja/rahoitettava kohde 3. vuosi</v>
      </c>
      <c r="AB65" s="1497">
        <f>'4. T7 LAINAT '!C43/1000</f>
        <v>0</v>
      </c>
      <c r="AC65" s="909">
        <f>'4. T7 LAINAT '!D43</f>
        <v>0</v>
      </c>
      <c r="AD65" s="1518">
        <f>'4. T7 LAINAT '!E43*100</f>
        <v>0</v>
      </c>
      <c r="AE65" s="1497"/>
      <c r="AF65" s="866"/>
      <c r="AG65" s="1509"/>
      <c r="AH65" s="1494"/>
      <c r="AI65" s="866"/>
      <c r="AJ65" s="1469"/>
      <c r="AK65" s="1497">
        <f>'4. T7 LAINAT '!L43/1000</f>
        <v>0</v>
      </c>
      <c r="AL65" s="866">
        <f>'4. T7 LAINAT '!M43/1000</f>
        <v>0</v>
      </c>
      <c r="AM65" s="1509">
        <f>'4. T7 LAINAT '!N43/1000</f>
        <v>0</v>
      </c>
      <c r="AN65" s="1494"/>
      <c r="AO65" s="866">
        <f>'4. T7 LAINAT '!P43/1000</f>
        <v>0</v>
      </c>
      <c r="AP65" s="866">
        <f>'4. T7 LAINAT '!Q43/1000</f>
        <v>0</v>
      </c>
    </row>
    <row r="66" spans="2:61" ht="11.25" customHeight="1" thickBot="1" x14ac:dyDescent="0.25">
      <c r="B66" s="1385" t="s">
        <v>372</v>
      </c>
      <c r="C66" s="913" t="s">
        <v>97</v>
      </c>
      <c r="D66" s="866">
        <f>'2. &amp; 7. T2 TULOSSUUN. '!E23/1000</f>
        <v>0</v>
      </c>
      <c r="E66" s="870">
        <f>'2. &amp; 7. T2 TULOSSUUN. '!F23</f>
        <v>0</v>
      </c>
      <c r="F66" s="866">
        <f>'2. &amp; 7. T2 TULOSSUUN. '!G23/1000</f>
        <v>0</v>
      </c>
      <c r="G66" s="870">
        <f>'2. &amp; 7. T2 TULOSSUUN. '!H23</f>
        <v>0</v>
      </c>
      <c r="H66" s="866">
        <f>'2. &amp; 7. T2 TULOSSUUN. '!I23/1000</f>
        <v>0</v>
      </c>
      <c r="I66" s="870">
        <f>'2. &amp; 7. T2 TULOSSUUN. '!J23</f>
        <v>0</v>
      </c>
      <c r="J66" s="866">
        <f>'2. &amp; 7. T2 TULOSSUUN. '!K23/1000</f>
        <v>0</v>
      </c>
      <c r="K66" s="870">
        <f>'2. &amp; 7. T2 TULOSSUUN. '!L23</f>
        <v>0</v>
      </c>
      <c r="L66" s="866">
        <f>'2. &amp; 7. T2 TULOSSUUN. '!M23/1000</f>
        <v>0</v>
      </c>
      <c r="M66" s="870">
        <f>'2. &amp; 7. T2 TULOSSUUN. '!N23</f>
        <v>0</v>
      </c>
      <c r="N66" s="866">
        <f>'2. &amp; 7. T2 TULOSSUUN. '!O23/1000</f>
        <v>0</v>
      </c>
      <c r="O66" s="1401">
        <f>'2. &amp; 7. T2 TULOSSUUN. '!P23</f>
        <v>0</v>
      </c>
      <c r="Q66" s="855"/>
      <c r="R66" s="2116" t="s">
        <v>603</v>
      </c>
      <c r="S66" s="2116"/>
      <c r="T66" s="2116"/>
      <c r="U66" s="2117"/>
      <c r="V66" s="866">
        <f>'8. T4 RAHOITUSSUUN. '!H31/1000+'8. T4 RAHOITUSSUUN. '!H32/1000</f>
        <v>0</v>
      </c>
      <c r="W66" s="866">
        <f>'8. T4 RAHOITUSSUUN. '!I31/1000+'8. T4 RAHOITUSSUUN. '!I32/1000</f>
        <v>0</v>
      </c>
      <c r="X66" s="866">
        <f>'8. T4 RAHOITUSSUUN. '!J31/1000+'8. T4 RAHOITUSSUUN. '!J32/1000</f>
        <v>0</v>
      </c>
      <c r="Y66" s="866">
        <f>'8. T4 RAHOITUSSUUN. '!K31/1000+'8. T4 RAHOITUSSUUN. '!K32/1000</f>
        <v>0</v>
      </c>
      <c r="AA66" s="1253" t="str">
        <f>'4. T7 LAINAT '!B44</f>
        <v xml:space="preserve"> Rahoittaja/rahoitettava kohde 4. vuosi</v>
      </c>
      <c r="AB66" s="1499">
        <f>'4. T7 LAINAT '!C44/1000</f>
        <v>0</v>
      </c>
      <c r="AC66" s="1254">
        <f>'4. T7 LAINAT '!D44</f>
        <v>0</v>
      </c>
      <c r="AD66" s="1519">
        <f>'4. T7 LAINAT '!E44*100</f>
        <v>0</v>
      </c>
      <c r="AE66" s="1499"/>
      <c r="AF66" s="1255"/>
      <c r="AG66" s="1510"/>
      <c r="AH66" s="1495"/>
      <c r="AI66" s="1255"/>
      <c r="AJ66" s="1502"/>
      <c r="AK66" s="1499"/>
      <c r="AL66" s="1255"/>
      <c r="AM66" s="1510"/>
      <c r="AN66" s="1495">
        <f>'4. T7 LAINAT '!O44/1000</f>
        <v>0</v>
      </c>
      <c r="AO66" s="1255">
        <f>'4. T7 LAINAT '!P44/1000</f>
        <v>0</v>
      </c>
      <c r="AP66" s="1255">
        <f>'4. T7 LAINAT '!Q44/1000</f>
        <v>0</v>
      </c>
    </row>
    <row r="67" spans="2:61" ht="11.25" customHeight="1" thickTop="1" x14ac:dyDescent="0.2">
      <c r="B67" s="1385" t="s">
        <v>172</v>
      </c>
      <c r="C67" s="874" t="s">
        <v>370</v>
      </c>
      <c r="D67" s="866">
        <f>'2. &amp; 7. T2 TULOSSUUN. '!E24/1000</f>
        <v>0</v>
      </c>
      <c r="E67" s="870">
        <f>'2. &amp; 7. T2 TULOSSUUN. '!F24</f>
        <v>0</v>
      </c>
      <c r="F67" s="866">
        <f>'2. &amp; 7. T2 TULOSSUUN. '!G24/1000</f>
        <v>0</v>
      </c>
      <c r="G67" s="870">
        <f>'2. &amp; 7. T2 TULOSSUUN. '!H24</f>
        <v>0</v>
      </c>
      <c r="H67" s="866">
        <f>'2. &amp; 7. T2 TULOSSUUN. '!I24/1000</f>
        <v>0</v>
      </c>
      <c r="I67" s="870">
        <f>'2. &amp; 7. T2 TULOSSUUN. '!J24</f>
        <v>0</v>
      </c>
      <c r="J67" s="866">
        <f>'2. &amp; 7. T2 TULOSSUUN. '!K24/1000</f>
        <v>0</v>
      </c>
      <c r="K67" s="870">
        <f>'2. &amp; 7. T2 TULOSSUUN. '!L24</f>
        <v>0</v>
      </c>
      <c r="L67" s="866">
        <f>'2. &amp; 7. T2 TULOSSUUN. '!M24/1000</f>
        <v>0</v>
      </c>
      <c r="M67" s="870">
        <f>'2. &amp; 7. T2 TULOSSUUN. '!N24</f>
        <v>0</v>
      </c>
      <c r="N67" s="866">
        <f>'2. &amp; 7. T2 TULOSSUUN. '!O24/1000</f>
        <v>0</v>
      </c>
      <c r="O67" s="1401">
        <f>'2. &amp; 7. T2 TULOSSUUN. '!P24</f>
        <v>0</v>
      </c>
      <c r="Q67" s="855"/>
      <c r="R67" s="2093" t="s">
        <v>604</v>
      </c>
      <c r="S67" s="2093"/>
      <c r="T67" s="2093"/>
      <c r="U67" s="2094"/>
      <c r="V67" s="866">
        <f>'8. T4 RAHOITUSSUUN. '!H34/1000+'8. T4 RAHOITUSSUUN. '!H33/1000</f>
        <v>0</v>
      </c>
      <c r="W67" s="866">
        <f>'8. T4 RAHOITUSSUUN. '!I34/1000+'8. T4 RAHOITUSSUUN. '!I33/1000</f>
        <v>0</v>
      </c>
      <c r="X67" s="866">
        <f>'8. T4 RAHOITUSSUUN. '!J34/1000+'8. T4 RAHOITUSSUUN. '!J33/1000</f>
        <v>0</v>
      </c>
      <c r="Y67" s="866">
        <f>'8. T4 RAHOITUSSUUN. '!K34/1000+'8. T4 RAHOITUSSUUN. '!K33/1000</f>
        <v>0</v>
      </c>
      <c r="AA67" s="1413" t="str">
        <f>'4. T7 LAINAT '!B45</f>
        <v>Uudet osamaksuvelat yht.</v>
      </c>
      <c r="AB67" s="1501">
        <f>SUM(AB63:AB66)</f>
        <v>0</v>
      </c>
      <c r="AC67" s="1414">
        <v>0</v>
      </c>
      <c r="AD67" s="1415">
        <v>0</v>
      </c>
      <c r="AE67" s="1501">
        <f>'4. T7 LAINAT '!F45/1000</f>
        <v>0</v>
      </c>
      <c r="AF67" s="1416">
        <f t="shared" ref="AF67:AO67" si="3">SUM(AF63:AF66)</f>
        <v>0</v>
      </c>
      <c r="AG67" s="1511">
        <f t="shared" si="3"/>
        <v>0</v>
      </c>
      <c r="AH67" s="1496">
        <f t="shared" si="3"/>
        <v>0</v>
      </c>
      <c r="AI67" s="1416">
        <f t="shared" si="3"/>
        <v>0</v>
      </c>
      <c r="AJ67" s="1503">
        <f t="shared" si="3"/>
        <v>0</v>
      </c>
      <c r="AK67" s="1501">
        <f t="shared" si="3"/>
        <v>0</v>
      </c>
      <c r="AL67" s="1416">
        <f t="shared" si="3"/>
        <v>0</v>
      </c>
      <c r="AM67" s="1511">
        <f t="shared" si="3"/>
        <v>0</v>
      </c>
      <c r="AN67" s="1496">
        <f t="shared" si="3"/>
        <v>0</v>
      </c>
      <c r="AO67" s="1416">
        <f t="shared" si="3"/>
        <v>0</v>
      </c>
      <c r="AP67" s="1416">
        <f t="shared" ref="AP67" si="4">SUM(AP63:AP66)</f>
        <v>0</v>
      </c>
    </row>
    <row r="68" spans="2:61" ht="11.25" customHeight="1" x14ac:dyDescent="0.2">
      <c r="B68" s="1385" t="s">
        <v>173</v>
      </c>
      <c r="C68" s="874" t="s">
        <v>371</v>
      </c>
      <c r="D68" s="866">
        <f>'2. &amp; 7. T2 TULOSSUUN. '!E25/1000</f>
        <v>0</v>
      </c>
      <c r="E68" s="870">
        <f>'2. &amp; 7. T2 TULOSSUUN. '!F25</f>
        <v>0</v>
      </c>
      <c r="F68" s="866">
        <f>'2. &amp; 7. T2 TULOSSUUN. '!G25/1000</f>
        <v>0</v>
      </c>
      <c r="G68" s="870">
        <f>'2. &amp; 7. T2 TULOSSUUN. '!H25</f>
        <v>0</v>
      </c>
      <c r="H68" s="866">
        <f>'2. &amp; 7. T2 TULOSSUUN. '!I25/1000</f>
        <v>0</v>
      </c>
      <c r="I68" s="870">
        <f>'2. &amp; 7. T2 TULOSSUUN. '!J25</f>
        <v>0</v>
      </c>
      <c r="J68" s="866">
        <f>'2. &amp; 7. T2 TULOSSUUN. '!K25/1000</f>
        <v>0</v>
      </c>
      <c r="K68" s="870">
        <f>'2. &amp; 7. T2 TULOSSUUN. '!L25</f>
        <v>0</v>
      </c>
      <c r="L68" s="866">
        <f>'2. &amp; 7. T2 TULOSSUUN. '!M25/1000</f>
        <v>0</v>
      </c>
      <c r="M68" s="870">
        <f>'2. &amp; 7. T2 TULOSSUUN. '!N25</f>
        <v>0</v>
      </c>
      <c r="N68" s="866">
        <f>'2. &amp; 7. T2 TULOSSUUN. '!O25/1000</f>
        <v>0</v>
      </c>
      <c r="O68" s="1401">
        <f>'2. &amp; 7. T2 TULOSSUUN. '!P25</f>
        <v>0</v>
      </c>
      <c r="Q68" s="855"/>
      <c r="R68" s="2093" t="s">
        <v>605</v>
      </c>
      <c r="S68" s="2093"/>
      <c r="T68" s="2093"/>
      <c r="U68" s="2094"/>
      <c r="V68" s="866">
        <f>'8. T4 RAHOITUSSUUN. '!H35/1000</f>
        <v>0</v>
      </c>
      <c r="W68" s="866">
        <f>'8. T4 RAHOITUSSUUN. '!I35/1000</f>
        <v>0</v>
      </c>
      <c r="X68" s="866">
        <f>'8. T4 RAHOITUSSUUN. '!J35/1000</f>
        <v>0</v>
      </c>
      <c r="Y68" s="866">
        <f>'8. T4 RAHOITUSSUUN. '!K35/1000</f>
        <v>0</v>
      </c>
      <c r="AA68" s="1035" t="str">
        <f>'4. T7 LAINAT '!B46</f>
        <v>Lyhytaikaisten lainojen korot</v>
      </c>
      <c r="AB68" s="1036">
        <f>'4. T7 LAINAT '!C46/1000</f>
        <v>0</v>
      </c>
      <c r="AC68" s="1035"/>
      <c r="AD68" s="1036">
        <f>'4. T7 LAINAT '!E46*100</f>
        <v>7.0000000000000009</v>
      </c>
      <c r="AE68" s="1512"/>
      <c r="AF68" s="908"/>
      <c r="AG68" s="1513">
        <f>'4. T7 LAINAT '!H46/1000</f>
        <v>0</v>
      </c>
      <c r="AH68" s="908"/>
      <c r="AI68" s="908"/>
      <c r="AJ68" s="1504">
        <f>'4. T7 LAINAT '!K46/1000</f>
        <v>0</v>
      </c>
      <c r="AK68" s="1512"/>
      <c r="AL68" s="908"/>
      <c r="AM68" s="1513">
        <f>'4. T7 LAINAT '!N46/1000</f>
        <v>0</v>
      </c>
      <c r="AN68" s="908"/>
      <c r="AO68" s="908"/>
      <c r="AP68" s="1252">
        <f>'4. T7 LAINAT '!Q46/1000</f>
        <v>0</v>
      </c>
    </row>
    <row r="69" spans="2:61" ht="10.9" customHeight="1" x14ac:dyDescent="0.2">
      <c r="B69" s="2172" t="s">
        <v>174</v>
      </c>
      <c r="C69" s="2170" t="s">
        <v>86</v>
      </c>
      <c r="D69" s="2131">
        <f>'2. &amp; 7. T2 TULOSSUUN. '!E26/1000</f>
        <v>0</v>
      </c>
      <c r="E69" s="2174">
        <f>'2. &amp; 7. T2 TULOSSUUN. '!F26</f>
        <v>0</v>
      </c>
      <c r="F69" s="2131">
        <f>'2. &amp; 7. T2 TULOSSUUN. '!G26/1000</f>
        <v>0</v>
      </c>
      <c r="G69" s="2174">
        <f>'2. &amp; 7. T2 TULOSSUUN. '!H26</f>
        <v>0</v>
      </c>
      <c r="H69" s="2131">
        <f>'2. &amp; 7. T2 TULOSSUUN. '!I26/1000</f>
        <v>0</v>
      </c>
      <c r="I69" s="2174">
        <f>'2. &amp; 7. T2 TULOSSUUN. '!J26</f>
        <v>0</v>
      </c>
      <c r="J69" s="2131">
        <f>'2. &amp; 7. T2 TULOSSUUN. '!K26/1000</f>
        <v>0</v>
      </c>
      <c r="K69" s="2174">
        <f>'2. &amp; 7. T2 TULOSSUUN. '!L26</f>
        <v>0</v>
      </c>
      <c r="L69" s="2131">
        <f>'2. &amp; 7. T2 TULOSSUUN. '!M26/1000</f>
        <v>0</v>
      </c>
      <c r="M69" s="2174">
        <f>'2. &amp; 7. T2 TULOSSUUN. '!N26</f>
        <v>0</v>
      </c>
      <c r="N69" s="2131">
        <f>'2. &amp; 7. T2 TULOSSUUN. '!O26/1000</f>
        <v>0</v>
      </c>
      <c r="O69" s="2185">
        <f>'2. &amp; 7. T2 TULOSSUUN. '!P26</f>
        <v>0</v>
      </c>
      <c r="Q69" s="855"/>
      <c r="R69" s="2093" t="s">
        <v>606</v>
      </c>
      <c r="S69" s="2093"/>
      <c r="T69" s="2093"/>
      <c r="U69" s="2094"/>
      <c r="V69" s="866">
        <f>'8. T4 RAHOITUSSUUN. '!H36/1000</f>
        <v>0</v>
      </c>
      <c r="W69" s="866">
        <f>'8. T4 RAHOITUSSUUN. '!I36/1000</f>
        <v>0</v>
      </c>
      <c r="X69" s="866">
        <f>'8. T4 RAHOITUSSUUN. '!J36/1000</f>
        <v>0</v>
      </c>
      <c r="Y69" s="866">
        <f>'8. T4 RAHOITUSSUUN. '!K36/1000</f>
        <v>0</v>
      </c>
      <c r="AA69" s="2100" t="str">
        <f>'4. T7 LAINAT '!B47</f>
        <v>Korot pitkäaikaisista veloista, ei velkakirjaa</v>
      </c>
      <c r="AB69" s="2100"/>
      <c r="AC69" s="2100"/>
      <c r="AD69" s="2100"/>
      <c r="AE69" s="1512"/>
      <c r="AF69" s="908"/>
      <c r="AG69" s="1514">
        <f>'4. T7 LAINAT '!H47/1000</f>
        <v>0</v>
      </c>
      <c r="AH69" s="908"/>
      <c r="AI69" s="908"/>
      <c r="AJ69" s="1505">
        <f>'4. T7 LAINAT '!K47/1000</f>
        <v>0</v>
      </c>
      <c r="AK69" s="1512"/>
      <c r="AL69" s="908"/>
      <c r="AM69" s="1514">
        <f>'4. T7 LAINAT '!N47/1000</f>
        <v>0</v>
      </c>
      <c r="AN69" s="908"/>
      <c r="AO69" s="908"/>
      <c r="AP69" s="877">
        <f>'4. T7 LAINAT '!Q47/1000</f>
        <v>0</v>
      </c>
    </row>
    <row r="70" spans="2:61" ht="11.25" customHeight="1" x14ac:dyDescent="0.2">
      <c r="B70" s="2173"/>
      <c r="C70" s="2171"/>
      <c r="D70" s="2131"/>
      <c r="E70" s="2174"/>
      <c r="F70" s="2131"/>
      <c r="G70" s="2174"/>
      <c r="H70" s="2131"/>
      <c r="I70" s="2174"/>
      <c r="J70" s="2131"/>
      <c r="K70" s="2174"/>
      <c r="L70" s="2131"/>
      <c r="M70" s="2174"/>
      <c r="N70" s="2131"/>
      <c r="O70" s="2185"/>
      <c r="Q70" s="855"/>
      <c r="R70" s="2093" t="s">
        <v>607</v>
      </c>
      <c r="S70" s="2093"/>
      <c r="T70" s="2093"/>
      <c r="U70" s="2094"/>
      <c r="V70" s="866">
        <f>'8. T4 RAHOITUSSUUN. '!H37/1000</f>
        <v>0</v>
      </c>
      <c r="W70" s="866">
        <f>'8. T4 RAHOITUSSUUN. '!I37/1000</f>
        <v>0</v>
      </c>
      <c r="X70" s="866">
        <f>'8. T4 RAHOITUSSUUN. '!J37/1000</f>
        <v>0</v>
      </c>
      <c r="Y70" s="866">
        <f>'8. T4 RAHOITUSSUUN. '!K37/1000</f>
        <v>0</v>
      </c>
      <c r="AA70" s="1409" t="str">
        <f>'4. T7 LAINAT '!B48</f>
        <v>Lainojen toimitusmaksut, pankkitakausmaksut</v>
      </c>
      <c r="AB70" s="1410"/>
      <c r="AC70" s="1409"/>
      <c r="AD70" s="1409"/>
      <c r="AE70" s="1515"/>
      <c r="AF70" s="1411"/>
      <c r="AG70" s="1516">
        <f>'4. T7 LAINAT '!H48/1000</f>
        <v>0</v>
      </c>
      <c r="AH70" s="1411"/>
      <c r="AI70" s="1411"/>
      <c r="AJ70" s="1506">
        <f>'4. T7 LAINAT '!K48/1000</f>
        <v>0</v>
      </c>
      <c r="AK70" s="1515"/>
      <c r="AL70" s="1411"/>
      <c r="AM70" s="1516">
        <f>'4. T7 LAINAT '!N48/1000</f>
        <v>0</v>
      </c>
      <c r="AN70" s="1411"/>
      <c r="AO70" s="1411"/>
      <c r="AP70" s="1412">
        <f>'4. T7 LAINAT '!Q48/1000</f>
        <v>0</v>
      </c>
    </row>
    <row r="71" spans="2:61" ht="11.25" customHeight="1" x14ac:dyDescent="0.2">
      <c r="B71" s="1385" t="s">
        <v>175</v>
      </c>
      <c r="C71" s="874" t="s">
        <v>87</v>
      </c>
      <c r="D71" s="866">
        <f>'2. &amp; 7. T2 TULOSSUUN. '!E27/1000</f>
        <v>0</v>
      </c>
      <c r="E71" s="870">
        <f>'2. &amp; 7. T2 TULOSSUUN. '!F27</f>
        <v>0</v>
      </c>
      <c r="F71" s="866">
        <f>'2. &amp; 7. T2 TULOSSUUN. '!G27/1000</f>
        <v>0</v>
      </c>
      <c r="G71" s="870">
        <f>'2. &amp; 7. T2 TULOSSUUN. '!H27</f>
        <v>0</v>
      </c>
      <c r="H71" s="866">
        <f>'2. &amp; 7. T2 TULOSSUUN. '!I27/1000</f>
        <v>0</v>
      </c>
      <c r="I71" s="870">
        <f>'2. &amp; 7. T2 TULOSSUUN. '!J27</f>
        <v>0</v>
      </c>
      <c r="J71" s="866">
        <f>'2. &amp; 7. T2 TULOSSUUN. '!K27/1000</f>
        <v>0</v>
      </c>
      <c r="K71" s="870">
        <f>'2. &amp; 7. T2 TULOSSUUN. '!L27</f>
        <v>0</v>
      </c>
      <c r="L71" s="866">
        <f>'2. &amp; 7. T2 TULOSSUUN. '!M27/1000</f>
        <v>0</v>
      </c>
      <c r="M71" s="870">
        <f>'2. &amp; 7. T2 TULOSSUUN. '!N27</f>
        <v>0</v>
      </c>
      <c r="N71" s="866">
        <f>'2. &amp; 7. T2 TULOSSUUN. '!O27/1000</f>
        <v>0</v>
      </c>
      <c r="O71" s="1401">
        <f>'2. &amp; 7. T2 TULOSSUUN. '!P27</f>
        <v>0</v>
      </c>
      <c r="Q71" s="855"/>
      <c r="R71" s="2093" t="s">
        <v>608</v>
      </c>
      <c r="S71" s="2093"/>
      <c r="T71" s="2093"/>
      <c r="U71" s="2094"/>
      <c r="V71" s="866">
        <f>'8. T4 RAHOITUSSUUN. '!H38/1000</f>
        <v>0</v>
      </c>
      <c r="W71" s="866">
        <f>'8. T4 RAHOITUSSUUN. '!I38/1000</f>
        <v>0</v>
      </c>
      <c r="X71" s="866">
        <f>'8. T4 RAHOITUSSUUN. '!J38/1000</f>
        <v>0</v>
      </c>
      <c r="Y71" s="866">
        <f>'8. T4 RAHOITUSSUUN. '!K38/1000</f>
        <v>0</v>
      </c>
      <c r="AA71" s="758"/>
      <c r="AB71" s="759"/>
      <c r="AC71" s="757"/>
      <c r="AD71" s="760"/>
      <c r="AE71" s="761"/>
      <c r="AF71" s="761"/>
      <c r="AG71" s="759"/>
      <c r="AH71" s="761"/>
      <c r="AI71" s="761"/>
      <c r="AJ71" s="759"/>
      <c r="AK71" s="761"/>
      <c r="AL71" s="761"/>
      <c r="AM71" s="759"/>
      <c r="AN71" s="761"/>
      <c r="AO71" s="761"/>
      <c r="AP71" s="759"/>
    </row>
    <row r="72" spans="2:61" ht="11.25" customHeight="1" x14ac:dyDescent="0.2">
      <c r="B72" s="1385" t="s">
        <v>176</v>
      </c>
      <c r="C72" s="874" t="s">
        <v>106</v>
      </c>
      <c r="D72" s="866">
        <f>'2. &amp; 7. T2 TULOSSUUN. '!E29/1000</f>
        <v>0</v>
      </c>
      <c r="E72" s="870">
        <f>'2. &amp; 7. T2 TULOSSUUN. '!F28</f>
        <v>0</v>
      </c>
      <c r="F72" s="866">
        <f>'2. &amp; 7. T2 TULOSSUUN. '!G29/1000</f>
        <v>0</v>
      </c>
      <c r="G72" s="870">
        <f>'2. &amp; 7. T2 TULOSSUUN. '!H28</f>
        <v>0</v>
      </c>
      <c r="H72" s="866">
        <f>'2. &amp; 7. T2 TULOSSUUN. '!I29/1000</f>
        <v>0</v>
      </c>
      <c r="I72" s="870">
        <f>'2. &amp; 7. T2 TULOSSUUN. '!J28</f>
        <v>0</v>
      </c>
      <c r="J72" s="866">
        <f>'2. &amp; 7. T2 TULOSSUUN. '!K29/1000</f>
        <v>0</v>
      </c>
      <c r="K72" s="870">
        <f>'2. &amp; 7. T2 TULOSSUUN. '!L28</f>
        <v>0</v>
      </c>
      <c r="L72" s="866">
        <f>'2. &amp; 7. T2 TULOSSUUN. '!M29/1000</f>
        <v>0</v>
      </c>
      <c r="M72" s="870">
        <f>'2. &amp; 7. T2 TULOSSUUN. '!N28</f>
        <v>0</v>
      </c>
      <c r="N72" s="866">
        <f>'2. &amp; 7. T2 TULOSSUUN. '!O29/1000</f>
        <v>0</v>
      </c>
      <c r="O72" s="1401">
        <f>'2. &amp; 7. T2 TULOSSUUN. '!P28</f>
        <v>0</v>
      </c>
      <c r="Q72" s="855"/>
      <c r="R72" s="2093" t="s">
        <v>609</v>
      </c>
      <c r="S72" s="2093"/>
      <c r="T72" s="2093"/>
      <c r="U72" s="2094"/>
      <c r="V72" s="866">
        <f>'8. T4 RAHOITUSSUUN. '!H39/1000</f>
        <v>0</v>
      </c>
      <c r="W72" s="866">
        <f>'8. T4 RAHOITUSSUUN. '!I39/1000</f>
        <v>0</v>
      </c>
      <c r="X72" s="866">
        <f>'8. T4 RAHOITUSSUUN. '!J39/1000</f>
        <v>0</v>
      </c>
      <c r="Y72" s="866">
        <f>'8. T4 RAHOITUSSUUN. '!K39/1000</f>
        <v>0</v>
      </c>
      <c r="AA72" s="1520" t="str">
        <f>'4. T7 LAINAT '!B49</f>
        <v>KAIKKI YHTEENSÄ</v>
      </c>
      <c r="AB72" s="1521">
        <f>'4. T7 LAINAT '!C49/1000</f>
        <v>0</v>
      </c>
      <c r="AC72" s="1522"/>
      <c r="AD72" s="1523"/>
      <c r="AE72" s="1524">
        <f>'4. T7 LAINAT '!F49/1000</f>
        <v>0</v>
      </c>
      <c r="AF72" s="1525">
        <f>'4. T7 LAINAT '!G49/1000</f>
        <v>0</v>
      </c>
      <c r="AG72" s="1526">
        <f>'4. T7 LAINAT '!H49/1000</f>
        <v>0</v>
      </c>
      <c r="AH72" s="1521">
        <f>'4. T7 LAINAT '!I49/1000</f>
        <v>0</v>
      </c>
      <c r="AI72" s="1525">
        <f>'4. T7 LAINAT '!J49/1000</f>
        <v>0</v>
      </c>
      <c r="AJ72" s="1526">
        <f>'4. T7 LAINAT '!K49/1000</f>
        <v>0</v>
      </c>
      <c r="AK72" s="1527">
        <f>'4. T7 LAINAT '!L49/1000</f>
        <v>0</v>
      </c>
      <c r="AL72" s="1525">
        <f>'4. T7 LAINAT '!M49/1000</f>
        <v>0</v>
      </c>
      <c r="AM72" s="1528">
        <f>'4. T7 LAINAT '!N49/1000</f>
        <v>0</v>
      </c>
      <c r="AN72" s="1521">
        <f>'4. T7 LAINAT '!O49/1000</f>
        <v>0</v>
      </c>
      <c r="AO72" s="1525">
        <f>'4. T7 LAINAT '!P49/1000</f>
        <v>0</v>
      </c>
      <c r="AP72" s="1526">
        <f>'4. T7 LAINAT '!Q49/1000</f>
        <v>0</v>
      </c>
    </row>
    <row r="73" spans="2:61" ht="11.25" customHeight="1" x14ac:dyDescent="0.2">
      <c r="B73" s="1385" t="s">
        <v>177</v>
      </c>
      <c r="C73" s="874" t="s">
        <v>436</v>
      </c>
      <c r="D73" s="866">
        <f>'2. &amp; 7. T2 TULOSSUUN. '!E30/1000</f>
        <v>0</v>
      </c>
      <c r="E73" s="870">
        <f>'2. &amp; 7. T2 TULOSSUUN. '!F29</f>
        <v>0</v>
      </c>
      <c r="F73" s="866">
        <f>'2. &amp; 7. T2 TULOSSUUN. '!G30/1000</f>
        <v>0</v>
      </c>
      <c r="G73" s="870">
        <f>'2. &amp; 7. T2 TULOSSUUN. '!H29</f>
        <v>0</v>
      </c>
      <c r="H73" s="866">
        <f>'2. &amp; 7. T2 TULOSSUUN. '!I30/1000</f>
        <v>0</v>
      </c>
      <c r="I73" s="870">
        <f>'2. &amp; 7. T2 TULOSSUUN. '!J29</f>
        <v>0</v>
      </c>
      <c r="J73" s="866">
        <f>'2. &amp; 7. T2 TULOSSUUN. '!K30/1000</f>
        <v>0</v>
      </c>
      <c r="K73" s="870">
        <f>'2. &amp; 7. T2 TULOSSUUN. '!L29</f>
        <v>0</v>
      </c>
      <c r="L73" s="866">
        <f>'2. &amp; 7. T2 TULOSSUUN. '!M30/1000</f>
        <v>0</v>
      </c>
      <c r="M73" s="870">
        <f>'2. &amp; 7. T2 TULOSSUUN. '!N29</f>
        <v>0</v>
      </c>
      <c r="N73" s="866">
        <f>'2. &amp; 7. T2 TULOSSUUN. '!O30/1000</f>
        <v>0</v>
      </c>
      <c r="O73" s="1401">
        <f>'2. &amp; 7. T2 TULOSSUUN. '!P29</f>
        <v>0</v>
      </c>
      <c r="Q73" s="855"/>
      <c r="R73" s="2093" t="s">
        <v>610</v>
      </c>
      <c r="S73" s="2093"/>
      <c r="T73" s="2093"/>
      <c r="U73" s="2094"/>
      <c r="V73" s="866">
        <f>'8. T4 RAHOITUSSUUN. '!H40/1000</f>
        <v>0</v>
      </c>
      <c r="W73" s="866">
        <f>'8. T4 RAHOITUSSUUN. '!I40/1000</f>
        <v>0</v>
      </c>
      <c r="X73" s="866">
        <f>'8. T4 RAHOITUSSUUN. '!J40/1000</f>
        <v>0</v>
      </c>
      <c r="Y73" s="866">
        <f>'8. T4 RAHOITUSSUUN. '!K40/1000</f>
        <v>0</v>
      </c>
    </row>
    <row r="74" spans="2:61" ht="11.25" customHeight="1" x14ac:dyDescent="0.2">
      <c r="B74" s="1385" t="s">
        <v>445</v>
      </c>
      <c r="C74" s="876" t="s">
        <v>91</v>
      </c>
      <c r="D74" s="877">
        <f>'2. &amp; 7. T2 TULOSSUUN. '!E31/1000</f>
        <v>0</v>
      </c>
      <c r="E74" s="1377">
        <f>'2. &amp; 7. T2 TULOSSUUN. '!F30</f>
        <v>0</v>
      </c>
      <c r="F74" s="877">
        <f>'2. &amp; 7. T2 TULOSSUUN. '!G31/1000</f>
        <v>0</v>
      </c>
      <c r="G74" s="1377">
        <f>'2. &amp; 7. T2 TULOSSUUN. '!H30</f>
        <v>0</v>
      </c>
      <c r="H74" s="877">
        <f>'2. &amp; 7. T2 TULOSSUUN. '!I31/1000</f>
        <v>0</v>
      </c>
      <c r="I74" s="1377">
        <f>'2. &amp; 7. T2 TULOSSUUN. '!J30</f>
        <v>0</v>
      </c>
      <c r="J74" s="877">
        <f>'2. &amp; 7. T2 TULOSSUUN. '!K31/1000</f>
        <v>0</v>
      </c>
      <c r="K74" s="870">
        <f>'2. &amp; 7. T2 TULOSSUUN. '!L30</f>
        <v>0</v>
      </c>
      <c r="L74" s="877">
        <f>'2. &amp; 7. T2 TULOSSUUN. '!M31/1000</f>
        <v>0</v>
      </c>
      <c r="M74" s="1377">
        <f>'2. &amp; 7. T2 TULOSSUUN. '!N30</f>
        <v>0</v>
      </c>
      <c r="N74" s="877">
        <f>'2. &amp; 7. T2 TULOSSUUN. '!O31/1000</f>
        <v>0</v>
      </c>
      <c r="O74" s="1403">
        <f>'2. &amp; 7. T2 TULOSSUUN. '!P30</f>
        <v>0</v>
      </c>
      <c r="Q74" s="855"/>
      <c r="R74" s="2093" t="s">
        <v>611</v>
      </c>
      <c r="S74" s="2093"/>
      <c r="T74" s="2093"/>
      <c r="U74" s="2094"/>
      <c r="V74" s="866">
        <f>'8. T4 RAHOITUSSUUN. '!H41/1000</f>
        <v>0</v>
      </c>
      <c r="W74" s="866">
        <f>'8. T4 RAHOITUSSUUN. '!I41/1000</f>
        <v>0</v>
      </c>
      <c r="X74" s="866">
        <f>'8. T4 RAHOITUSSUUN. '!J41/1000</f>
        <v>0</v>
      </c>
      <c r="Y74" s="866">
        <f>'8. T4 RAHOITUSSUUN. '!K41/1000</f>
        <v>0</v>
      </c>
      <c r="AG74" s="41"/>
    </row>
    <row r="75" spans="2:61" ht="11.25" customHeight="1" x14ac:dyDescent="0.2">
      <c r="B75" s="1391"/>
      <c r="C75" s="874" t="s">
        <v>102</v>
      </c>
      <c r="D75" s="2178">
        <f>'2. &amp; 7. T2 TULOSSUUN. '!E33</f>
        <v>1</v>
      </c>
      <c r="E75" s="2038"/>
      <c r="F75" s="2178">
        <f>'2. &amp; 7. T2 TULOSSUUN. '!G33</f>
        <v>1</v>
      </c>
      <c r="G75" s="2038"/>
      <c r="H75" s="2178">
        <f>'2. &amp; 7. T2 TULOSSUUN. '!I33</f>
        <v>1</v>
      </c>
      <c r="I75" s="2038"/>
      <c r="J75" s="2178">
        <f>'2. &amp; 7. T2 TULOSSUUN. '!K33</f>
        <v>1</v>
      </c>
      <c r="K75" s="2038"/>
      <c r="L75" s="2178">
        <f>'2. &amp; 7. T2 TULOSSUUN. '!M33</f>
        <v>1</v>
      </c>
      <c r="M75" s="2038"/>
      <c r="N75" s="2178">
        <f>'2. &amp; 7. T2 TULOSSUUN. '!O33</f>
        <v>1</v>
      </c>
      <c r="O75" s="2179"/>
      <c r="Q75" s="855"/>
      <c r="R75" s="2093" t="s">
        <v>612</v>
      </c>
      <c r="S75" s="2093"/>
      <c r="T75" s="2093"/>
      <c r="U75" s="2094"/>
      <c r="V75" s="866">
        <f>'8. T4 RAHOITUSSUUN. '!H42/1000</f>
        <v>0</v>
      </c>
      <c r="W75" s="866">
        <f>'8. T4 RAHOITUSSUUN. '!I42/1000</f>
        <v>0</v>
      </c>
      <c r="X75" s="866">
        <f>'8. T4 RAHOITUSSUUN. '!J42/1000</f>
        <v>0</v>
      </c>
      <c r="Y75" s="866">
        <f>'8. T4 RAHOITUSSUUN. '!K42/1000</f>
        <v>0</v>
      </c>
    </row>
    <row r="76" spans="2:61" ht="10.9" customHeight="1" x14ac:dyDescent="0.2">
      <c r="B76" s="1386"/>
      <c r="C76" s="1404" t="s">
        <v>539</v>
      </c>
      <c r="D76" s="2113">
        <f>'8. T4 RAHOITUSSUUN. '!P14</f>
        <v>0</v>
      </c>
      <c r="E76" s="2114"/>
      <c r="F76" s="2113">
        <f>'8. T4 RAHOITUSSUUN. '!Q14</f>
        <v>0</v>
      </c>
      <c r="G76" s="2114"/>
      <c r="H76" s="2113">
        <f>'8. T4 RAHOITUSSUUN. '!R14</f>
        <v>0</v>
      </c>
      <c r="I76" s="2114"/>
      <c r="J76" s="2113">
        <f>'8. T4 RAHOITUSSUUN. '!S14</f>
        <v>0</v>
      </c>
      <c r="K76" s="2114"/>
      <c r="L76" s="2113">
        <f>'8. T4 RAHOITUSSUUN. '!T14</f>
        <v>0</v>
      </c>
      <c r="M76" s="2114"/>
      <c r="N76" s="2113">
        <f>'8. T4 RAHOITUSSUUN. '!U14</f>
        <v>0</v>
      </c>
      <c r="O76" s="2115"/>
      <c r="Q76" s="878"/>
      <c r="R76" s="883" t="s">
        <v>613</v>
      </c>
      <c r="S76" s="883"/>
      <c r="T76" s="895">
        <v>0</v>
      </c>
      <c r="U76" s="875"/>
      <c r="V76" s="877">
        <f>'8. T4 RAHOITUSSUUN. '!H43/1000</f>
        <v>0</v>
      </c>
      <c r="W76" s="877">
        <f>'8. T4 RAHOITUSSUUN. '!I43/1000</f>
        <v>0</v>
      </c>
      <c r="X76" s="877">
        <f>'8. T4 RAHOITUSSUUN. '!J43/1000</f>
        <v>0</v>
      </c>
      <c r="Y76" s="877">
        <f>'8. T4 RAHOITUSSUUN. '!K43/1000</f>
        <v>0</v>
      </c>
    </row>
    <row r="77" spans="2:61" ht="12" customHeight="1" x14ac:dyDescent="0.2">
      <c r="C77" s="134"/>
      <c r="D77" s="134"/>
      <c r="E77" s="134"/>
      <c r="Q77" s="911"/>
      <c r="R77" s="2183" t="str">
        <f>'8. T4 RAHOITUSSUUN. '!C44</f>
        <v>Kassan riittävyys / Muut kiinteät kulut (pv)</v>
      </c>
      <c r="S77" s="2183"/>
      <c r="T77" s="2183"/>
      <c r="U77" s="2184"/>
      <c r="V77" s="888">
        <f>'8. T4 RAHOITUSSUUN. '!H44</f>
        <v>0</v>
      </c>
      <c r="W77" s="888">
        <f>'8. T4 RAHOITUSSUUN. '!I44</f>
        <v>0</v>
      </c>
      <c r="X77" s="888">
        <f>'8. T4 RAHOITUSSUUN. '!J44</f>
        <v>0</v>
      </c>
      <c r="Y77" s="888">
        <f>'8. T4 RAHOITUSSUUN. '!K44</f>
        <v>0</v>
      </c>
      <c r="AA77" s="47"/>
    </row>
    <row r="78" spans="2:61" ht="12.75" customHeight="1" x14ac:dyDescent="0.2">
      <c r="Q78" s="2096"/>
      <c r="R78" s="2096"/>
      <c r="S78" s="2096"/>
      <c r="AA78" s="2143"/>
      <c r="AB78" s="2143"/>
      <c r="AC78" s="2143"/>
      <c r="AD78" s="2143"/>
    </row>
    <row r="79" spans="2:61" ht="11.25" customHeight="1" x14ac:dyDescent="0.2">
      <c r="BF79" s="2132" t="s">
        <v>0</v>
      </c>
      <c r="BG79" s="2132"/>
      <c r="BH79" s="2132"/>
      <c r="BI79" s="2132"/>
    </row>
    <row r="80" spans="2:61" ht="11.25" customHeight="1" x14ac:dyDescent="0.2">
      <c r="B80" s="1693" t="str">
        <f>OHJE!I5</f>
        <v>Palvelun tarjoaa</v>
      </c>
      <c r="C80" s="1693"/>
      <c r="I80" s="1666"/>
      <c r="J80" s="1666"/>
      <c r="K80" s="1666"/>
      <c r="L80" s="1666"/>
      <c r="M80" s="1666"/>
      <c r="N80" s="1666"/>
      <c r="O80" s="1666"/>
      <c r="P80" s="767"/>
      <c r="Q80" s="1552"/>
      <c r="R80" s="1554" t="str">
        <f>OHJE!I5</f>
        <v>Palvelun tarjoaa</v>
      </c>
      <c r="S80" s="1552"/>
      <c r="T80" s="764"/>
      <c r="U80" s="764"/>
      <c r="V80" s="765"/>
      <c r="W80" s="2180"/>
      <c r="X80" s="2180"/>
      <c r="Y80" s="2180"/>
      <c r="Z80" s="766"/>
      <c r="AA80" s="1693" t="str">
        <f>OHJE!I5</f>
        <v>Palvelun tarjoaa</v>
      </c>
      <c r="AB80" s="1693"/>
      <c r="AK80" s="1666"/>
      <c r="AL80" s="1666"/>
      <c r="AM80" s="1666"/>
      <c r="AN80" s="1666"/>
      <c r="AO80" s="1666"/>
      <c r="AP80" s="1666"/>
      <c r="AR80" s="54" t="str">
        <f>OHJE!I5</f>
        <v>Palvelun tarjoaa</v>
      </c>
      <c r="AW80" s="1663"/>
      <c r="AX80" s="1663"/>
      <c r="AY80" s="1663"/>
      <c r="AZ80" s="768"/>
      <c r="BA80" s="768"/>
      <c r="BB80" s="768"/>
      <c r="BC80" s="768"/>
      <c r="BD80" s="768"/>
      <c r="BE80" s="768"/>
      <c r="BF80" s="768"/>
      <c r="BG80" s="768"/>
      <c r="BH80" s="768"/>
      <c r="BI80" s="768"/>
    </row>
    <row r="81" spans="2:61" ht="10.9" customHeight="1" x14ac:dyDescent="0.2">
      <c r="B81" s="1025" t="str">
        <f>OHJE!H7</f>
        <v>Business Kuopio</v>
      </c>
      <c r="C81" s="269"/>
      <c r="D81" s="269"/>
      <c r="E81" s="269"/>
      <c r="F81" s="1551"/>
      <c r="G81" s="1551"/>
      <c r="H81" s="1551"/>
      <c r="I81" s="1551"/>
      <c r="J81" s="2177" t="str">
        <f>OHJE!G24</f>
        <v>YT22 Toimivan yrityksen tulossuunnitelma</v>
      </c>
      <c r="K81" s="2177"/>
      <c r="L81" s="2177"/>
      <c r="M81" s="2177"/>
      <c r="N81" s="2177"/>
      <c r="O81" s="2177"/>
      <c r="Q81" s="756" t="str">
        <f>B6</f>
        <v xml:space="preserve"> </v>
      </c>
      <c r="R81" s="2066" t="str">
        <f>OHJE!H7</f>
        <v>Business Kuopio</v>
      </c>
      <c r="S81" s="2066"/>
      <c r="T81" s="2066"/>
      <c r="U81" s="2066"/>
      <c r="V81" s="2066"/>
      <c r="W81" s="2177" t="str">
        <f>OHJE!G24</f>
        <v>YT22 Toimivan yrityksen tulossuunnitelma</v>
      </c>
      <c r="X81" s="2177"/>
      <c r="Y81" s="2177"/>
      <c r="AA81" s="2066" t="str">
        <f>OHJE!H7</f>
        <v>Business Kuopio</v>
      </c>
      <c r="AB81" s="2066"/>
      <c r="AC81" s="2066"/>
      <c r="AD81" s="2066"/>
      <c r="AE81" s="2066"/>
      <c r="AF81" s="2066"/>
      <c r="AG81" s="2066"/>
      <c r="AH81" s="2066"/>
      <c r="AI81" s="2066"/>
      <c r="AJ81" s="2066"/>
      <c r="AK81" s="1663" t="str">
        <f>OHJE!G24</f>
        <v>YT22 Toimivan yrityksen tulossuunnitelma</v>
      </c>
      <c r="AL81" s="1663"/>
      <c r="AM81" s="1663"/>
      <c r="AN81" s="1663"/>
      <c r="AO81" s="1663"/>
      <c r="AP81" s="1663"/>
      <c r="AR81" s="2096" t="str">
        <f>OHJE!H7</f>
        <v>Business Kuopio</v>
      </c>
      <c r="AS81" s="2096"/>
      <c r="AT81" s="2096"/>
      <c r="AU81" s="2096"/>
      <c r="AV81" s="2096"/>
      <c r="AW81" s="1663" t="str">
        <f>OHJE!G24</f>
        <v>YT22 Toimivan yrityksen tulossuunnitelma</v>
      </c>
      <c r="AX81" s="1663"/>
      <c r="AY81" s="1663"/>
      <c r="AZ81" s="768"/>
      <c r="BA81" s="768"/>
      <c r="BB81" s="768"/>
      <c r="BC81" s="768"/>
      <c r="BD81" s="768"/>
      <c r="BE81" s="768"/>
      <c r="BF81" s="768"/>
      <c r="BG81" s="768"/>
      <c r="BH81" s="768"/>
      <c r="BI81" s="768"/>
    </row>
    <row r="82" spans="2:61" ht="11.25" customHeight="1" x14ac:dyDescent="0.2">
      <c r="AY82" s="768">
        <f>AM82</f>
        <v>0</v>
      </c>
      <c r="AZ82" s="768"/>
      <c r="BA82" s="768"/>
      <c r="BB82" s="768"/>
      <c r="BC82" s="768"/>
      <c r="BD82" s="768"/>
      <c r="BE82" s="768"/>
      <c r="BF82" s="768"/>
      <c r="BG82" s="768"/>
      <c r="BH82" s="768"/>
      <c r="BI82" s="768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54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54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54" t="s">
        <v>529</v>
      </c>
      <c r="AT112" s="158" t="str">
        <f>OHJE!H7</f>
        <v>Business Kuopio</v>
      </c>
      <c r="AU112" s="158"/>
      <c r="AV112" s="158"/>
      <c r="AW112" s="158"/>
      <c r="AX112" s="158"/>
      <c r="AY112" s="158"/>
      <c r="AZ112" s="158"/>
      <c r="BA112" s="158"/>
      <c r="BB112" s="158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54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2.9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41"/>
      <c r="S164" s="41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42"/>
      <c r="R199" s="42">
        <f>'8. T4 RAHOITUSSUUN. '!AB43</f>
        <v>0</v>
      </c>
      <c r="S199" s="42"/>
      <c r="T199" s="42"/>
      <c r="U199" s="42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lvyOFTvqfwcSzbpP6f/HwFehWn+X4zQMM6iNwGHKcSax18XN6A83y8wVsSRhysr9dZ2ZSd4Ka2U/luTPV+3StQ==" saltValue="WLT9HLDeEgvrdZzZ2vOrcg==" spinCount="100000" sheet="1" objects="1" scenarios="1" selectLockedCells="1"/>
  <mergeCells count="307"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O9:AP9"/>
    <mergeCell ref="AM9:AN9"/>
    <mergeCell ref="AG13:AH13"/>
    <mergeCell ref="R67:U67"/>
    <mergeCell ref="R68:U68"/>
    <mergeCell ref="R69:U69"/>
    <mergeCell ref="AO13:AP13"/>
    <mergeCell ref="AI15:AJ15"/>
    <mergeCell ref="AE26:AG26"/>
    <mergeCell ref="AE30:AF30"/>
    <mergeCell ref="AA25:AA27"/>
    <mergeCell ref="AK15:AL15"/>
    <mergeCell ref="AM15:AN15"/>
    <mergeCell ref="AE36:AF36"/>
    <mergeCell ref="AH36:AI36"/>
    <mergeCell ref="AE35:AF35"/>
    <mergeCell ref="AH35:AI35"/>
    <mergeCell ref="AK35:AL35"/>
    <mergeCell ref="AH41:AJ41"/>
    <mergeCell ref="AN35:AO35"/>
    <mergeCell ref="AN36:AO36"/>
    <mergeCell ref="AN41:AP41"/>
    <mergeCell ref="AK40:AM40"/>
    <mergeCell ref="AN40:AP40"/>
    <mergeCell ref="AE41:AG41"/>
    <mergeCell ref="AE38:AF38"/>
    <mergeCell ref="AH38:AI38"/>
    <mergeCell ref="AK38:AL38"/>
    <mergeCell ref="AK12:AL12"/>
    <mergeCell ref="AK18:AL18"/>
    <mergeCell ref="AN33:AO33"/>
    <mergeCell ref="AN34:AO34"/>
    <mergeCell ref="AK29:AL29"/>
    <mergeCell ref="AK30:AL30"/>
    <mergeCell ref="AK31:AL31"/>
    <mergeCell ref="AK32:AL32"/>
    <mergeCell ref="AI18:AJ18"/>
    <mergeCell ref="AA10:AD10"/>
    <mergeCell ref="B80:C80"/>
    <mergeCell ref="AA80:AB80"/>
    <mergeCell ref="R74:U74"/>
    <mergeCell ref="R75:U75"/>
    <mergeCell ref="R59:U59"/>
    <mergeCell ref="K69:K70"/>
    <mergeCell ref="D75:E75"/>
    <mergeCell ref="F75:G75"/>
    <mergeCell ref="H75:I75"/>
    <mergeCell ref="J75:K75"/>
    <mergeCell ref="L75:M75"/>
    <mergeCell ref="N75:O75"/>
    <mergeCell ref="D76:E76"/>
    <mergeCell ref="I80:O80"/>
    <mergeCell ref="W80:Y80"/>
    <mergeCell ref="F76:G76"/>
    <mergeCell ref="H76:I76"/>
    <mergeCell ref="Q26:S27"/>
    <mergeCell ref="R49:S49"/>
    <mergeCell ref="R77:U77"/>
    <mergeCell ref="H69:H70"/>
    <mergeCell ref="O69:O70"/>
    <mergeCell ref="R58:U58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2:AP12"/>
    <mergeCell ref="AI11:AJ11"/>
    <mergeCell ref="AO16:AP16"/>
    <mergeCell ref="AK10:AL10"/>
    <mergeCell ref="AK16:AL16"/>
    <mergeCell ref="AM16:AN16"/>
    <mergeCell ref="AM10:AN10"/>
    <mergeCell ref="R70:U70"/>
    <mergeCell ref="R71:U71"/>
    <mergeCell ref="R72:U72"/>
    <mergeCell ref="R73:U73"/>
    <mergeCell ref="R57:U57"/>
    <mergeCell ref="Q51:S52"/>
    <mergeCell ref="AG14:AH14"/>
    <mergeCell ref="H32:H33"/>
    <mergeCell ref="K39:K40"/>
    <mergeCell ref="AK33:AL33"/>
    <mergeCell ref="AK34:AL34"/>
    <mergeCell ref="AN29:AO29"/>
    <mergeCell ref="AN30:AO30"/>
    <mergeCell ref="AN31:AO31"/>
    <mergeCell ref="AN27:AP27"/>
    <mergeCell ref="AK17:AL17"/>
    <mergeCell ref="AI17:AJ17"/>
    <mergeCell ref="I69:I70"/>
    <mergeCell ref="J69:J70"/>
    <mergeCell ref="R66:U66"/>
    <mergeCell ref="L69:L70"/>
    <mergeCell ref="M69:M70"/>
    <mergeCell ref="N69:N70"/>
    <mergeCell ref="C69:C70"/>
    <mergeCell ref="B69:B70"/>
    <mergeCell ref="D69:D70"/>
    <mergeCell ref="E69:E70"/>
    <mergeCell ref="F69:F70"/>
    <mergeCell ref="G69:G70"/>
    <mergeCell ref="D53:E53"/>
    <mergeCell ref="F53:G53"/>
    <mergeCell ref="D51:E51"/>
    <mergeCell ref="F51:G51"/>
    <mergeCell ref="H53:I53"/>
    <mergeCell ref="J53:K53"/>
    <mergeCell ref="L53:M53"/>
    <mergeCell ref="N53:O53"/>
    <mergeCell ref="H51:I51"/>
    <mergeCell ref="J51:K51"/>
    <mergeCell ref="L51:M51"/>
    <mergeCell ref="N51:O51"/>
    <mergeCell ref="B34:C34"/>
    <mergeCell ref="B41:C41"/>
    <mergeCell ref="D50:E50"/>
    <mergeCell ref="F50:G50"/>
    <mergeCell ref="B50:C52"/>
    <mergeCell ref="M41:O42"/>
    <mergeCell ref="M43:O44"/>
    <mergeCell ref="M47:O48"/>
    <mergeCell ref="M45:O46"/>
    <mergeCell ref="H50:I50"/>
    <mergeCell ref="J50:K50"/>
    <mergeCell ref="L47:L48"/>
    <mergeCell ref="K47:K48"/>
    <mergeCell ref="L50:M50"/>
    <mergeCell ref="I47:J48"/>
    <mergeCell ref="N50:O50"/>
    <mergeCell ref="AN38:AO38"/>
    <mergeCell ref="AK80:AP80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Q24:S24"/>
    <mergeCell ref="AE24:AP25"/>
    <mergeCell ref="AM8:AN8"/>
    <mergeCell ref="AK36:AL36"/>
    <mergeCell ref="R62:U62"/>
    <mergeCell ref="J76:K76"/>
    <mergeCell ref="L76:M76"/>
    <mergeCell ref="N76:O76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R63:U63"/>
    <mergeCell ref="AI9:AJ9"/>
    <mergeCell ref="AI6:AJ6"/>
    <mergeCell ref="AE8:AF8"/>
    <mergeCell ref="Q2:R2"/>
    <mergeCell ref="Q78:S78"/>
    <mergeCell ref="AD40:AD42"/>
    <mergeCell ref="AE19:AF19"/>
    <mergeCell ref="AA69:AD69"/>
    <mergeCell ref="AE27:AG27"/>
    <mergeCell ref="AI16:AJ16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AA2:AB2"/>
    <mergeCell ref="Q4:S4"/>
    <mergeCell ref="Q3:S3"/>
    <mergeCell ref="B2:C2"/>
    <mergeCell ref="I45:J46"/>
    <mergeCell ref="I43:J44"/>
    <mergeCell ref="H14:H15"/>
    <mergeCell ref="I14:O15"/>
    <mergeCell ref="I6:O6"/>
    <mergeCell ref="I7:O7"/>
    <mergeCell ref="G6:H6"/>
    <mergeCell ref="E4:F4"/>
    <mergeCell ref="I5:O5"/>
    <mergeCell ref="M40:O40"/>
    <mergeCell ref="I41:J42"/>
    <mergeCell ref="K41:K42"/>
    <mergeCell ref="L41:L42"/>
    <mergeCell ref="K43:K44"/>
    <mergeCell ref="L43:L44"/>
    <mergeCell ref="B6:F6"/>
    <mergeCell ref="K45:K46"/>
    <mergeCell ref="L45:L46"/>
    <mergeCell ref="B32:C33"/>
    <mergeCell ref="B8:H8"/>
    <mergeCell ref="B9:H9"/>
    <mergeCell ref="B14:C15"/>
    <mergeCell ref="I32:O33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T5:AT6"/>
    <mergeCell ref="AV5:AV6"/>
    <mergeCell ref="AK27:AM27"/>
    <mergeCell ref="AK41:AM41"/>
    <mergeCell ref="AE31:AF31"/>
    <mergeCell ref="AE32:AF32"/>
    <mergeCell ref="AE33:AF33"/>
    <mergeCell ref="AE34:AF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E29:AF29"/>
  </mergeCells>
  <conditionalFormatting sqref="AT10:AY10">
    <cfRule type="containsText" dxfId="30" priority="33" operator="containsText" text="Hyvä">
      <formula>NOT(ISERROR(SEARCH("Hyvä",AT10)))</formula>
    </cfRule>
    <cfRule type="containsText" dxfId="29" priority="34" operator="containsText" text="Tyydyttävä">
      <formula>NOT(ISERROR(SEARCH("Tyydyttävä",AT10)))</formula>
    </cfRule>
    <cfRule type="containsText" dxfId="28" priority="35" operator="containsText" text="Heikko">
      <formula>NOT(ISERROR(SEARCH("Heikko",AT10)))</formula>
    </cfRule>
    <cfRule type="containsText" dxfId="27" priority="45" operator="containsText" text="Hyvä">
      <formula>NOT(ISERROR(SEARCH("Hyvä",AT10)))</formula>
    </cfRule>
    <cfRule type="containsText" dxfId="26" priority="46" operator="containsText" text="Tyydyttävä">
      <formula>NOT(ISERROR(SEARCH("Tyydyttävä",AT10)))</formula>
    </cfRule>
    <cfRule type="containsText" dxfId="25" priority="47" operator="containsText" text="Heikko">
      <formula>NOT(ISERROR(SEARCH("Heikko",AT10)))</formula>
    </cfRule>
  </conditionalFormatting>
  <conditionalFormatting sqref="AT12:AY12">
    <cfRule type="containsText" dxfId="24" priority="27" operator="containsText" text="Hyvä">
      <formula>NOT(ISERROR(SEARCH("Hyvä",AT12)))</formula>
    </cfRule>
    <cfRule type="containsText" dxfId="23" priority="28" operator="containsText" text="Tyydyttävä">
      <formula>NOT(ISERROR(SEARCH("Tyydyttävä",AT12)))</formula>
    </cfRule>
    <cfRule type="containsText" dxfId="22" priority="29" operator="containsText" text="Heikko">
      <formula>NOT(ISERROR(SEARCH("Heikko",AT12)))</formula>
    </cfRule>
    <cfRule type="containsText" dxfId="21" priority="30" operator="containsText" text="Hyvä">
      <formula>NOT(ISERROR(SEARCH("Hyvä",AT12)))</formula>
    </cfRule>
    <cfRule type="containsText" dxfId="20" priority="31" operator="containsText" text="Tyydyttävä">
      <formula>NOT(ISERROR(SEARCH("Tyydyttävä",AT12)))</formula>
    </cfRule>
    <cfRule type="containsText" dxfId="19" priority="32" operator="containsText" text="Heikko">
      <formula>NOT(ISERROR(SEARCH("Heikko",AT12)))</formula>
    </cfRule>
  </conditionalFormatting>
  <conditionalFormatting sqref="AT15:AY15">
    <cfRule type="containsText" dxfId="18" priority="21" operator="containsText" text="Hyvä">
      <formula>NOT(ISERROR(SEARCH("Hyvä",AT15)))</formula>
    </cfRule>
    <cfRule type="containsText" dxfId="17" priority="22" operator="containsText" text="Tyydyttävä">
      <formula>NOT(ISERROR(SEARCH("Tyydyttävä",AT15)))</formula>
    </cfRule>
    <cfRule type="containsText" dxfId="16" priority="23" operator="containsText" text="Heikko">
      <formula>NOT(ISERROR(SEARCH("Heikko",AT15)))</formula>
    </cfRule>
    <cfRule type="containsText" dxfId="15" priority="24" operator="containsText" text="Hyvä">
      <formula>NOT(ISERROR(SEARCH("Hyvä",AT15)))</formula>
    </cfRule>
    <cfRule type="containsText" dxfId="14" priority="25" operator="containsText" text="Tyydyttävä">
      <formula>NOT(ISERROR(SEARCH("Tyydyttävä",AT15)))</formula>
    </cfRule>
    <cfRule type="containsText" dxfId="13" priority="26" operator="containsText" text="Heikko">
      <formula>NOT(ISERROR(SEARCH("Heikko",AT15)))</formula>
    </cfRule>
  </conditionalFormatting>
  <conditionalFormatting sqref="AU18:AY18">
    <cfRule type="containsText" dxfId="12" priority="15" operator="containsText" text="Hyvä">
      <formula>NOT(ISERROR(SEARCH("Hyvä",AU18)))</formula>
    </cfRule>
    <cfRule type="containsText" dxfId="11" priority="16" operator="containsText" text="Tyydyttävä">
      <formula>NOT(ISERROR(SEARCH("Tyydyttävä",AU18)))</formula>
    </cfRule>
    <cfRule type="containsText" dxfId="10" priority="17" operator="containsText" text="Heikko">
      <formula>NOT(ISERROR(SEARCH("Heikko",AU18)))</formula>
    </cfRule>
    <cfRule type="containsText" dxfId="9" priority="18" operator="containsText" text="Hyvä">
      <formula>NOT(ISERROR(SEARCH("Hyvä",AU18)))</formula>
    </cfRule>
    <cfRule type="containsText" dxfId="8" priority="19" operator="containsText" text="Tyydyttävä">
      <formula>NOT(ISERROR(SEARCH("Tyydyttävä",AU18)))</formula>
    </cfRule>
    <cfRule type="containsText" dxfId="7" priority="20" operator="containsText" text="Heikko">
      <formula>NOT(ISERROR(SEARCH("Heikko",AU18)))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7" operator="containsText" text="Hyvä">
      <formula>NOT(ISERROR(SEARCH("Hyvä",AT20)))</formula>
    </cfRule>
  </conditionalFormatting>
  <conditionalFormatting sqref="AT20:AY20">
    <cfRule type="containsText" dxfId="3" priority="6" operator="containsText" text="Heikko">
      <formula>NOT(ISERROR(SEARCH("Heikko",AT20)))</formula>
    </cfRule>
  </conditionalFormatting>
  <conditionalFormatting sqref="AT18">
    <cfRule type="containsText" dxfId="2" priority="3" operator="containsText" text="Hyvä">
      <formula>NOT(ISERROR(SEARCH("Hyvä",AT18)))</formula>
    </cfRule>
    <cfRule type="containsText" dxfId="1" priority="4" operator="containsText" text="Tyydyttävä">
      <formula>NOT(ISERROR(SEARCH("Tyydyttävä",AT18)))</formula>
    </cfRule>
    <cfRule type="containsText" dxfId="0" priority="5" operator="containsText" text="Heikko">
      <formula>NOT(ISERROR(SEARCH("Heikko",AT18)))</formula>
    </cfRule>
  </conditionalFormatting>
  <printOptions horizontalCentered="1" verticalCentered="1"/>
  <pageMargins left="0.23622047244094491" right="0.23622047244094491" top="0.55118110236220474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75" x14ac:dyDescent="0.2"/>
  <cols>
    <col min="2" max="2" width="10.42578125" customWidth="1"/>
    <col min="3" max="3" width="10.28515625" customWidth="1"/>
    <col min="4" max="4" width="11.42578125" customWidth="1"/>
    <col min="5" max="5" width="54.42578125" customWidth="1"/>
  </cols>
  <sheetData>
    <row r="2" spans="2:5" x14ac:dyDescent="0.2">
      <c r="B2" t="s">
        <v>698</v>
      </c>
      <c r="C2" t="s">
        <v>696</v>
      </c>
      <c r="D2" t="s">
        <v>697</v>
      </c>
      <c r="E2" t="s">
        <v>699</v>
      </c>
    </row>
    <row r="3" spans="2:5" x14ac:dyDescent="0.2">
      <c r="B3" s="18">
        <v>44420</v>
      </c>
      <c r="C3" t="s">
        <v>700</v>
      </c>
      <c r="D3" t="s">
        <v>701</v>
      </c>
      <c r="E3" t="s">
        <v>702</v>
      </c>
    </row>
    <row r="4" spans="2:5" x14ac:dyDescent="0.2">
      <c r="B4" s="18">
        <v>44497</v>
      </c>
      <c r="C4" s="508" t="s">
        <v>705</v>
      </c>
      <c r="D4" s="508" t="s">
        <v>706</v>
      </c>
      <c r="E4" s="508" t="s">
        <v>707</v>
      </c>
    </row>
    <row r="5" spans="2:5" x14ac:dyDescent="0.2">
      <c r="C5" s="508" t="s">
        <v>708</v>
      </c>
      <c r="E5" s="508" t="s">
        <v>709</v>
      </c>
    </row>
    <row r="6" spans="2:5" x14ac:dyDescent="0.2">
      <c r="C6" s="508" t="s">
        <v>710</v>
      </c>
      <c r="E6" s="508" t="s">
        <v>711</v>
      </c>
    </row>
    <row r="7" spans="2:5" x14ac:dyDescent="0.2">
      <c r="C7" s="508" t="s">
        <v>712</v>
      </c>
      <c r="E7" s="508" t="s">
        <v>713</v>
      </c>
    </row>
    <row r="8" spans="2:5" x14ac:dyDescent="0.2">
      <c r="C8" s="508" t="s">
        <v>714</v>
      </c>
      <c r="E8" s="508" t="s">
        <v>715</v>
      </c>
    </row>
    <row r="9" spans="2:5" x14ac:dyDescent="0.2">
      <c r="C9" s="508" t="s">
        <v>714</v>
      </c>
      <c r="E9" s="508" t="s">
        <v>716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5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C41" sqref="C41"/>
    </sheetView>
  </sheetViews>
  <sheetFormatPr defaultRowHeight="12.75" x14ac:dyDescent="0.2"/>
  <cols>
    <col min="2" max="2" width="41" customWidth="1"/>
    <col min="7" max="7" width="4.85546875" customWidth="1"/>
    <col min="9" max="9" width="31.140625" customWidth="1"/>
    <col min="10" max="10" width="7.42578125" customWidth="1"/>
  </cols>
  <sheetData>
    <row r="1" spans="1:22" ht="13.5" thickBot="1" x14ac:dyDescent="0.25"/>
    <row r="2" spans="1:22" ht="15.75" customHeight="1" x14ac:dyDescent="0.2">
      <c r="B2" s="2200" t="s">
        <v>208</v>
      </c>
      <c r="C2" s="49" t="s">
        <v>16</v>
      </c>
      <c r="D2" s="49" t="s">
        <v>1</v>
      </c>
      <c r="E2" s="49" t="s">
        <v>12</v>
      </c>
      <c r="F2" s="182" t="s">
        <v>288</v>
      </c>
      <c r="G2" s="26"/>
      <c r="H2" s="26"/>
      <c r="I2" s="459" t="s">
        <v>361</v>
      </c>
      <c r="J2" t="str">
        <f>'9. T5 KASSABUDJETTI '!F9</f>
        <v>Alv-%</v>
      </c>
      <c r="K2" s="460">
        <f>'9. T5 KASSABUDJETTI '!G9</f>
        <v>45292</v>
      </c>
      <c r="L2" s="460">
        <f>'9. T5 KASSABUDJETTI '!H9</f>
        <v>45323</v>
      </c>
      <c r="M2" s="460">
        <f>'9. T5 KASSABUDJETTI '!I9</f>
        <v>45354</v>
      </c>
      <c r="N2" s="460">
        <f>'9. T5 KASSABUDJETTI '!J9</f>
        <v>45385</v>
      </c>
      <c r="O2" s="460">
        <f>'9. T5 KASSABUDJETTI '!K9</f>
        <v>45416</v>
      </c>
      <c r="P2" s="460">
        <f>'9. T5 KASSABUDJETTI '!L9</f>
        <v>45447</v>
      </c>
      <c r="Q2" s="460">
        <f>'9. T5 KASSABUDJETTI '!M9</f>
        <v>45478</v>
      </c>
      <c r="R2" s="460">
        <f>'9. T5 KASSABUDJETTI '!N9</f>
        <v>45509</v>
      </c>
      <c r="S2" s="460">
        <f>'9. T5 KASSABUDJETTI '!O9</f>
        <v>45540</v>
      </c>
      <c r="T2" s="460">
        <f>'9. T5 KASSABUDJETTI '!P9</f>
        <v>45571</v>
      </c>
      <c r="U2" s="460">
        <f>'9. T5 KASSABUDJETTI '!Q9</f>
        <v>45602</v>
      </c>
      <c r="V2" s="460">
        <f>'9. T5 KASSABUDJETTI '!R9</f>
        <v>45633</v>
      </c>
    </row>
    <row r="3" spans="1:22" x14ac:dyDescent="0.2">
      <c r="B3" s="2201"/>
      <c r="C3" s="183">
        <f>'1. T1 INVESTOINTISUUN.'!D16</f>
        <v>2024</v>
      </c>
      <c r="D3" s="183">
        <f>'1. T1 INVESTOINTISUUN.'!E16</f>
        <v>2025</v>
      </c>
      <c r="E3" s="183">
        <f>'1. T1 INVESTOINTISUUN.'!F16</f>
        <v>2026</v>
      </c>
      <c r="F3" s="183">
        <f>'1. T1 INVESTOINTISUUN.'!G16</f>
        <v>2027</v>
      </c>
      <c r="G3" s="461"/>
      <c r="H3" s="27">
        <f>'9. T5 KASSABUDJETTI '!B12</f>
        <v>2</v>
      </c>
      <c r="I3" s="466" t="str">
        <f>'9. T5 KASSABUDJETTI '!C12</f>
        <v xml:space="preserve"> Käteismyynti, myyntisosuus</v>
      </c>
      <c r="J3">
        <f>'9. T5 KASSABUDJETTI '!F12</f>
        <v>24</v>
      </c>
      <c r="K3">
        <f>'9. T5 KASSABUDJETTI '!G12</f>
        <v>0</v>
      </c>
      <c r="L3">
        <f>'9. T5 KASSABUDJETTI '!H12</f>
        <v>0</v>
      </c>
      <c r="M3">
        <f>'9. T5 KASSABUDJETTI '!I12</f>
        <v>0</v>
      </c>
      <c r="N3">
        <f>'9. T5 KASSABUDJETTI '!J12</f>
        <v>0</v>
      </c>
      <c r="O3">
        <f>'9. T5 KASSABUDJETTI '!K12</f>
        <v>0</v>
      </c>
      <c r="P3">
        <f>'9. T5 KASSABUDJETTI '!L12</f>
        <v>0</v>
      </c>
      <c r="Q3">
        <f>'9. T5 KASSABUDJETTI '!M12</f>
        <v>0</v>
      </c>
      <c r="R3">
        <f>'9. T5 KASSABUDJETTI '!N12</f>
        <v>0</v>
      </c>
      <c r="S3">
        <f>'9. T5 KASSABUDJETTI '!O12</f>
        <v>0</v>
      </c>
      <c r="T3">
        <f>'9. T5 KASSABUDJETTI '!P12</f>
        <v>0</v>
      </c>
      <c r="U3">
        <f>'9. T5 KASSABUDJETTI '!Q12</f>
        <v>0</v>
      </c>
      <c r="V3">
        <f>'9. T5 KASSABUDJETTI '!R12</f>
        <v>0</v>
      </c>
    </row>
    <row r="4" spans="1:22" x14ac:dyDescent="0.2">
      <c r="A4" t="str">
        <f>'1. T1 INVESTOINTISUUN.'!B17</f>
        <v>1.</v>
      </c>
      <c r="B4" s="89" t="str">
        <f>'1. T1 INVESTOINTISUUN.'!C17</f>
        <v>Maa-alueet</v>
      </c>
      <c r="C4" s="89">
        <f>'1. T1 INVESTOINTISUUN.'!D17</f>
        <v>0</v>
      </c>
      <c r="D4" s="89">
        <f>'1. T1 INVESTOINTISUUN.'!E17</f>
        <v>0</v>
      </c>
      <c r="E4" s="89">
        <f>'1. T1 INVESTOINTISUUN.'!F17</f>
        <v>0</v>
      </c>
      <c r="F4" s="89">
        <f>'1. T1 INVESTOINTISUUN.'!G17</f>
        <v>0</v>
      </c>
      <c r="I4" s="467" t="s">
        <v>362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 x14ac:dyDescent="0.2">
      <c r="A5" s="1" t="s">
        <v>0</v>
      </c>
      <c r="B5" s="89" t="str">
        <f>'1. T1 INVESTOINTISUUN.'!C19</f>
        <v xml:space="preserve"> - avustus-%</v>
      </c>
      <c r="C5" s="187">
        <f>'1. T1 INVESTOINTISUUN.'!D19</f>
        <v>0</v>
      </c>
      <c r="D5" s="187">
        <f>'1. T1 INVESTOINTISUUN.'!E19</f>
        <v>0</v>
      </c>
      <c r="E5" s="187">
        <f>'1. T1 INVESTOINTISUUN.'!F19</f>
        <v>0</v>
      </c>
      <c r="F5" s="187">
        <f>'1. T1 INVESTOINTISUUN.'!G19</f>
        <v>0</v>
      </c>
      <c r="G5" s="462"/>
      <c r="H5" s="27">
        <f>'9. T5 KASSABUDJETTI '!B14</f>
        <v>3</v>
      </c>
      <c r="I5" s="466" t="str">
        <f>'9. T5 KASSABUDJETTI '!C14</f>
        <v xml:space="preserve"> Laskutusmyynti</v>
      </c>
      <c r="J5">
        <f>'9. T5 KASSABUDJETTI '!F14</f>
        <v>24</v>
      </c>
      <c r="K5">
        <f>'9. T5 KASSABUDJETTI '!G14</f>
        <v>0</v>
      </c>
      <c r="L5">
        <f>'9. T5 KASSABUDJETTI '!H14</f>
        <v>0</v>
      </c>
      <c r="M5">
        <f>'9. T5 KASSABUDJETTI '!I14</f>
        <v>0</v>
      </c>
      <c r="N5">
        <f>'9. T5 KASSABUDJETTI '!J14</f>
        <v>0</v>
      </c>
      <c r="O5">
        <f>'9. T5 KASSABUDJETTI '!K14</f>
        <v>0</v>
      </c>
      <c r="P5">
        <f>'9. T5 KASSABUDJETTI '!L14</f>
        <v>0</v>
      </c>
      <c r="Q5">
        <f>'9. T5 KASSABUDJETTI '!M14</f>
        <v>0</v>
      </c>
      <c r="R5">
        <f>'9. T5 KASSABUDJETTI '!N14</f>
        <v>0</v>
      </c>
      <c r="S5">
        <f>'9. T5 KASSABUDJETTI '!O14</f>
        <v>0</v>
      </c>
      <c r="T5">
        <f>'9. T5 KASSABUDJETTI '!P14</f>
        <v>0</v>
      </c>
      <c r="U5">
        <f>'9. T5 KASSABUDJETTI '!Q14</f>
        <v>0</v>
      </c>
      <c r="V5">
        <f>'9. T5 KASSABUDJETTI '!R14</f>
        <v>0</v>
      </c>
    </row>
    <row r="6" spans="1:22" x14ac:dyDescent="0.2">
      <c r="B6" s="184" t="s">
        <v>205</v>
      </c>
      <c r="C6" s="89">
        <f>C4*C5</f>
        <v>0</v>
      </c>
      <c r="D6" s="89">
        <f>D4*D5</f>
        <v>0</v>
      </c>
      <c r="E6" s="89">
        <f>E4*E5</f>
        <v>0</v>
      </c>
      <c r="F6" s="89">
        <f>F4*F5</f>
        <v>0</v>
      </c>
      <c r="I6" s="467" t="s">
        <v>362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 x14ac:dyDescent="0.2">
      <c r="B7" s="184" t="s">
        <v>247</v>
      </c>
      <c r="C7" s="89">
        <f>C4-C6</f>
        <v>0</v>
      </c>
      <c r="D7" s="89">
        <f>D4-D6</f>
        <v>0</v>
      </c>
      <c r="E7" s="89">
        <f>E4-E6</f>
        <v>0</v>
      </c>
      <c r="F7" s="89">
        <f>F4-F6</f>
        <v>0</v>
      </c>
      <c r="H7" s="27">
        <f>'9. T5 KASSABUDJETTI '!B17</f>
        <v>4</v>
      </c>
      <c r="I7" s="466" t="str">
        <f>'9. T5 KASSABUDJETTI '!C17</f>
        <v xml:space="preserve"> Satunnaiset tuotot, omaisuuden myyntitulot</v>
      </c>
      <c r="J7">
        <f>'9. T5 KASSABUDJETTI '!F17</f>
        <v>24</v>
      </c>
      <c r="K7">
        <f>'9. T5 KASSABUDJETTI '!G17</f>
        <v>0</v>
      </c>
      <c r="L7">
        <f>'9. T5 KASSABUDJETTI '!H17</f>
        <v>0</v>
      </c>
      <c r="M7">
        <f>'9. T5 KASSABUDJETTI '!I17</f>
        <v>0</v>
      </c>
      <c r="N7">
        <f>'9. T5 KASSABUDJETTI '!J17</f>
        <v>0</v>
      </c>
      <c r="O7">
        <f>'9. T5 KASSABUDJETTI '!K17</f>
        <v>0</v>
      </c>
      <c r="P7">
        <f>'9. T5 KASSABUDJETTI '!L17</f>
        <v>0</v>
      </c>
      <c r="Q7">
        <f>'9. T5 KASSABUDJETTI '!M17</f>
        <v>0</v>
      </c>
      <c r="R7">
        <f>'9. T5 KASSABUDJETTI '!N17</f>
        <v>0</v>
      </c>
      <c r="S7">
        <f>'9. T5 KASSABUDJETTI '!O17</f>
        <v>0</v>
      </c>
      <c r="T7">
        <f>'9. T5 KASSABUDJETTI '!P17</f>
        <v>0</v>
      </c>
      <c r="U7">
        <f>'9. T5 KASSABUDJETTI '!Q17</f>
        <v>0</v>
      </c>
      <c r="V7">
        <f>'9. T5 KASSABUDJETTI '!R17</f>
        <v>0</v>
      </c>
    </row>
    <row r="8" spans="1:22" x14ac:dyDescent="0.2">
      <c r="A8" s="4" t="str">
        <f>'1. T1 INVESTOINTISUUN.'!B20</f>
        <v>2.</v>
      </c>
      <c r="B8" s="184" t="str">
        <f>'1. T1 INVESTOINTISUUN.'!C20</f>
        <v xml:space="preserve">Rakennukset ja rakennelmat sis. alv </v>
      </c>
      <c r="C8" s="184">
        <f>'1. T1 INVESTOINTISUUN.'!D20</f>
        <v>0</v>
      </c>
      <c r="D8" s="184">
        <f>'1. T1 INVESTOINTISUUN.'!E20</f>
        <v>0</v>
      </c>
      <c r="E8" s="184">
        <f>'1. T1 INVESTOINTISUUN.'!F20</f>
        <v>0</v>
      </c>
      <c r="F8" s="184">
        <f>'1. T1 INVESTOINTISUUN.'!G20</f>
        <v>0</v>
      </c>
      <c r="G8" s="4"/>
      <c r="H8" s="41"/>
      <c r="I8" s="467" t="s">
        <v>362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 x14ac:dyDescent="0.2">
      <c r="A9" s="4"/>
      <c r="B9" s="184" t="str">
        <f>'1. T1 INVESTOINTISUUN.'!C22</f>
        <v xml:space="preserve"> - arvonlisävero-%</v>
      </c>
      <c r="C9" s="185">
        <f>'1. T1 INVESTOINTISUUN.'!D22</f>
        <v>0.24</v>
      </c>
      <c r="D9" s="185">
        <f>'1. T1 INVESTOINTISUUN.'!E22</f>
        <v>0.24</v>
      </c>
      <c r="E9" s="185">
        <f>'1. T1 INVESTOINTISUUN.'!F22</f>
        <v>0.24</v>
      </c>
      <c r="F9" s="185">
        <f>'1. T1 INVESTOINTISUUN.'!G22</f>
        <v>0.24</v>
      </c>
      <c r="G9" s="463"/>
      <c r="H9" s="41"/>
      <c r="I9" s="468" t="s">
        <v>363</v>
      </c>
      <c r="J9" s="469"/>
      <c r="K9" s="469">
        <f>K4+K6+K8</f>
        <v>0</v>
      </c>
      <c r="L9" s="469">
        <f t="shared" ref="L9:V9" si="3">L4+L6+L8</f>
        <v>0</v>
      </c>
      <c r="M9" s="469">
        <f t="shared" si="3"/>
        <v>0</v>
      </c>
      <c r="N9" s="469">
        <f t="shared" si="3"/>
        <v>0</v>
      </c>
      <c r="O9" s="469">
        <f t="shared" si="3"/>
        <v>0</v>
      </c>
      <c r="P9" s="469">
        <f t="shared" si="3"/>
        <v>0</v>
      </c>
      <c r="Q9" s="469">
        <f t="shared" si="3"/>
        <v>0</v>
      </c>
      <c r="R9" s="469">
        <f t="shared" si="3"/>
        <v>0</v>
      </c>
      <c r="S9" s="469">
        <f t="shared" si="3"/>
        <v>0</v>
      </c>
      <c r="T9" s="469">
        <f t="shared" si="3"/>
        <v>0</v>
      </c>
      <c r="U9" s="469">
        <f t="shared" si="3"/>
        <v>0</v>
      </c>
      <c r="V9" s="469">
        <f t="shared" si="3"/>
        <v>0</v>
      </c>
    </row>
    <row r="10" spans="1:22" x14ac:dyDescent="0.2">
      <c r="A10" s="4"/>
      <c r="B10" s="184" t="s">
        <v>204</v>
      </c>
      <c r="C10" s="186">
        <f>C8/(1+C9)</f>
        <v>0</v>
      </c>
      <c r="D10" s="186">
        <f>D8/(1+D9)</f>
        <v>0</v>
      </c>
      <c r="E10" s="186">
        <f>E8/(1+E9)</f>
        <v>0</v>
      </c>
      <c r="F10" s="186">
        <f>F8/(1+F9)</f>
        <v>0</v>
      </c>
      <c r="G10" s="464"/>
      <c r="H10" s="41">
        <f>'9. T5 KASSABUDJETTI '!B22</f>
        <v>6</v>
      </c>
      <c r="I10" s="41" t="str">
        <f>'9. T5 KASSABUDJETTI '!C22</f>
        <v xml:space="preserve"> Aineet ja tarvikkeet</v>
      </c>
      <c r="J10">
        <f>'9. T5 KASSABUDJETTI '!F22</f>
        <v>24</v>
      </c>
      <c r="K10">
        <f>'9. T5 KASSABUDJETTI '!G22</f>
        <v>0</v>
      </c>
      <c r="L10">
        <f>'9. T5 KASSABUDJETTI '!H22</f>
        <v>0</v>
      </c>
      <c r="M10">
        <f>'9. T5 KASSABUDJETTI '!I22</f>
        <v>0</v>
      </c>
      <c r="N10">
        <f>'9. T5 KASSABUDJETTI '!J22</f>
        <v>0</v>
      </c>
      <c r="O10">
        <f>'9. T5 KASSABUDJETTI '!K22</f>
        <v>0</v>
      </c>
      <c r="P10">
        <f>'9. T5 KASSABUDJETTI '!L22</f>
        <v>0</v>
      </c>
      <c r="Q10">
        <f>'9. T5 KASSABUDJETTI '!M22</f>
        <v>0</v>
      </c>
      <c r="R10">
        <f>'9. T5 KASSABUDJETTI '!N22</f>
        <v>0</v>
      </c>
      <c r="S10">
        <f>'9. T5 KASSABUDJETTI '!O22</f>
        <v>0</v>
      </c>
      <c r="T10">
        <f>'9. T5 KASSABUDJETTI '!P22</f>
        <v>0</v>
      </c>
      <c r="U10">
        <f>'9. T5 KASSABUDJETTI '!Q22</f>
        <v>0</v>
      </c>
      <c r="V10">
        <f>'9. T5 KASSABUDJETTI '!R22</f>
        <v>0</v>
      </c>
    </row>
    <row r="11" spans="1:22" x14ac:dyDescent="0.2">
      <c r="A11" s="4" t="s">
        <v>0</v>
      </c>
      <c r="B11" s="184" t="s">
        <v>203</v>
      </c>
      <c r="C11" s="186">
        <f>C8-C10</f>
        <v>0</v>
      </c>
      <c r="D11" s="186">
        <f>D8-D10</f>
        <v>0</v>
      </c>
      <c r="E11" s="186">
        <f>E8-E10</f>
        <v>0</v>
      </c>
      <c r="F11" s="186">
        <f>F8-F10</f>
        <v>0</v>
      </c>
      <c r="G11" s="464"/>
      <c r="I11" s="467" t="s">
        <v>362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 x14ac:dyDescent="0.2">
      <c r="A12" s="4"/>
      <c r="B12" s="184" t="str">
        <f>'1. T1 INVESTOINTISUUN.'!C23</f>
        <v xml:space="preserve"> - avustus-%</v>
      </c>
      <c r="C12" s="185">
        <f>'1. T1 INVESTOINTISUUN.'!D23</f>
        <v>0</v>
      </c>
      <c r="D12" s="185">
        <f>'1. T1 INVESTOINTISUUN.'!E23</f>
        <v>0</v>
      </c>
      <c r="E12" s="185">
        <f>'1. T1 INVESTOINTISUUN.'!F23</f>
        <v>0</v>
      </c>
      <c r="F12" s="185">
        <f>'1. T1 INVESTOINTISUUN.'!G23</f>
        <v>0</v>
      </c>
      <c r="G12" s="463"/>
      <c r="H12" s="41">
        <f>'9. T5 KASSABUDJETTI '!B23</f>
        <v>7</v>
      </c>
      <c r="I12" s="41" t="str">
        <f>'9. T5 KASSABUDJETTI '!C23</f>
        <v xml:space="preserve"> Käteisostot</v>
      </c>
      <c r="J12">
        <f>'9. T5 KASSABUDJETTI '!F23</f>
        <v>24</v>
      </c>
      <c r="K12">
        <f>'9. T5 KASSABUDJETTI '!G23</f>
        <v>0</v>
      </c>
      <c r="L12">
        <f>'9. T5 KASSABUDJETTI '!H23</f>
        <v>0</v>
      </c>
      <c r="M12">
        <f>'9. T5 KASSABUDJETTI '!I23</f>
        <v>0</v>
      </c>
      <c r="N12">
        <f>'9. T5 KASSABUDJETTI '!J23</f>
        <v>0</v>
      </c>
      <c r="O12">
        <f>'9. T5 KASSABUDJETTI '!K23</f>
        <v>0</v>
      </c>
      <c r="P12">
        <f>'9. T5 KASSABUDJETTI '!L23</f>
        <v>0</v>
      </c>
      <c r="Q12">
        <f>'9. T5 KASSABUDJETTI '!M23</f>
        <v>0</v>
      </c>
      <c r="R12">
        <f>'9. T5 KASSABUDJETTI '!N23</f>
        <v>0</v>
      </c>
      <c r="S12">
        <f>'9. T5 KASSABUDJETTI '!O23</f>
        <v>0</v>
      </c>
      <c r="T12">
        <f>'9. T5 KASSABUDJETTI '!P23</f>
        <v>0</v>
      </c>
      <c r="U12">
        <f>'9. T5 KASSABUDJETTI '!Q23</f>
        <v>0</v>
      </c>
      <c r="V12">
        <f>'9. T5 KASSABUDJETTI '!R23</f>
        <v>0</v>
      </c>
    </row>
    <row r="13" spans="1:22" x14ac:dyDescent="0.2">
      <c r="A13" s="4"/>
      <c r="B13" s="184" t="s">
        <v>205</v>
      </c>
      <c r="C13" s="186">
        <f>C10*C12</f>
        <v>0</v>
      </c>
      <c r="D13" s="186">
        <f>D10*D12</f>
        <v>0</v>
      </c>
      <c r="E13" s="186">
        <f>E10*E12</f>
        <v>0</v>
      </c>
      <c r="F13" s="186">
        <f>F10*F12</f>
        <v>0</v>
      </c>
      <c r="G13" s="464"/>
      <c r="I13" s="467" t="s">
        <v>362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 x14ac:dyDescent="0.2">
      <c r="B14" s="184" t="s">
        <v>247</v>
      </c>
      <c r="C14" s="206">
        <f>C10-C13</f>
        <v>0</v>
      </c>
      <c r="D14" s="206">
        <f>D10-D13</f>
        <v>0</v>
      </c>
      <c r="E14" s="206">
        <f>E10-E13</f>
        <v>0</v>
      </c>
      <c r="F14" s="206">
        <f>F10-F13</f>
        <v>0</v>
      </c>
      <c r="G14" s="41"/>
      <c r="H14" s="41">
        <f>'9. T5 KASSABUDJETTI '!B24</f>
        <v>8</v>
      </c>
      <c r="I14" s="41" t="str">
        <f>'9. T5 KASSABUDJETTI '!C24</f>
        <v xml:space="preserve"> Ulkopuoliset palvelut</v>
      </c>
      <c r="J14">
        <f>'9. T5 KASSABUDJETTI '!F24</f>
        <v>24</v>
      </c>
      <c r="K14">
        <f>'9. T5 KASSABUDJETTI '!G24</f>
        <v>0</v>
      </c>
      <c r="L14">
        <f>'9. T5 KASSABUDJETTI '!H24</f>
        <v>0</v>
      </c>
      <c r="M14">
        <f>'9. T5 KASSABUDJETTI '!I24</f>
        <v>0</v>
      </c>
      <c r="N14">
        <f>'9. T5 KASSABUDJETTI '!J24</f>
        <v>0</v>
      </c>
      <c r="O14">
        <f>'9. T5 KASSABUDJETTI '!K24</f>
        <v>0</v>
      </c>
      <c r="P14">
        <f>'9. T5 KASSABUDJETTI '!L24</f>
        <v>0</v>
      </c>
      <c r="Q14">
        <f>'9. T5 KASSABUDJETTI '!M24</f>
        <v>0</v>
      </c>
      <c r="R14">
        <f>'9. T5 KASSABUDJETTI '!N24</f>
        <v>0</v>
      </c>
      <c r="S14">
        <f>'9. T5 KASSABUDJETTI '!O24</f>
        <v>0</v>
      </c>
      <c r="T14">
        <f>'9. T5 KASSABUDJETTI '!P24</f>
        <v>0</v>
      </c>
      <c r="U14">
        <f>'9. T5 KASSABUDJETTI '!Q24</f>
        <v>0</v>
      </c>
      <c r="V14">
        <f>'9. T5 KASSABUDJETTI '!R24</f>
        <v>0</v>
      </c>
    </row>
    <row r="15" spans="1:22" x14ac:dyDescent="0.2">
      <c r="A15" s="4" t="str">
        <f>'1. T1 INVESTOINTISUUN.'!B24</f>
        <v>3.</v>
      </c>
      <c r="B15" s="184" t="str">
        <f>'1. T1 INVESTOINTISUUN.'!C24</f>
        <v>Rakennukset ja rakennelmat alv 0 %</v>
      </c>
      <c r="C15" s="184">
        <f>'1. T1 INVESTOINTISUUN.'!D24</f>
        <v>0</v>
      </c>
      <c r="D15" s="184">
        <f>'1. T1 INVESTOINTISUUN.'!E24</f>
        <v>0</v>
      </c>
      <c r="E15" s="184">
        <f>'1. T1 INVESTOINTISUUN.'!F24</f>
        <v>0</v>
      </c>
      <c r="F15" s="184">
        <f>'1. T1 INVESTOINTISUUN.'!G24</f>
        <v>0</v>
      </c>
      <c r="G15" s="4"/>
      <c r="I15" s="467" t="s">
        <v>362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 x14ac:dyDescent="0.2">
      <c r="A16" s="4"/>
      <c r="B16" s="184" t="s">
        <v>200</v>
      </c>
      <c r="C16" s="185">
        <f>'1. T1 INVESTOINTISUUN.'!D26</f>
        <v>0</v>
      </c>
      <c r="D16" s="185">
        <f>'1. T1 INVESTOINTISUUN.'!E26</f>
        <v>0</v>
      </c>
      <c r="E16" s="185">
        <f>'1. T1 INVESTOINTISUUN.'!F26</f>
        <v>0</v>
      </c>
      <c r="F16" s="185">
        <f>'1. T1 INVESTOINTISUUN.'!G26</f>
        <v>0</v>
      </c>
      <c r="G16" s="463"/>
      <c r="H16" s="41">
        <f>'9. T5 KASSABUDJETTI '!B25</f>
        <v>9</v>
      </c>
      <c r="I16" s="41" t="str">
        <f>'9. T5 KASSABUDJETTI '!C25</f>
        <v xml:space="preserve"> Investoinnit sis. alv</v>
      </c>
      <c r="J16">
        <f>'9. T5 KASSABUDJETTI '!F25</f>
        <v>24</v>
      </c>
      <c r="K16">
        <f>'9. T5 KASSABUDJETTI '!G25</f>
        <v>0</v>
      </c>
      <c r="L16">
        <f>'9. T5 KASSABUDJETTI '!H25</f>
        <v>0</v>
      </c>
      <c r="M16">
        <f>'9. T5 KASSABUDJETTI '!I25</f>
        <v>0</v>
      </c>
      <c r="N16">
        <f>'9. T5 KASSABUDJETTI '!J25</f>
        <v>0</v>
      </c>
      <c r="O16">
        <f>'9. T5 KASSABUDJETTI '!K25</f>
        <v>0</v>
      </c>
      <c r="P16">
        <f>'9. T5 KASSABUDJETTI '!L25</f>
        <v>0</v>
      </c>
      <c r="Q16">
        <f>'9. T5 KASSABUDJETTI '!M25</f>
        <v>0</v>
      </c>
      <c r="R16">
        <f>'9. T5 KASSABUDJETTI '!N25</f>
        <v>0</v>
      </c>
      <c r="S16">
        <f>'9. T5 KASSABUDJETTI '!O25</f>
        <v>0</v>
      </c>
      <c r="T16">
        <f>'9. T5 KASSABUDJETTI '!P25</f>
        <v>0</v>
      </c>
      <c r="U16">
        <f>'9. T5 KASSABUDJETTI '!Q25</f>
        <v>0</v>
      </c>
      <c r="V16">
        <f>'9. T5 KASSABUDJETTI '!R25</f>
        <v>0</v>
      </c>
    </row>
    <row r="17" spans="1:22" x14ac:dyDescent="0.2">
      <c r="A17" s="4"/>
      <c r="B17" s="184" t="s">
        <v>205</v>
      </c>
      <c r="C17" s="89">
        <f>C16*C15</f>
        <v>0</v>
      </c>
      <c r="D17" s="89">
        <f t="shared" ref="D17:F17" si="7">D16*D15</f>
        <v>0</v>
      </c>
      <c r="E17" s="89">
        <f t="shared" si="7"/>
        <v>0</v>
      </c>
      <c r="F17" s="89">
        <f t="shared" si="7"/>
        <v>0</v>
      </c>
      <c r="I17" s="467" t="s">
        <v>362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 x14ac:dyDescent="0.2">
      <c r="B18" s="184" t="s">
        <v>495</v>
      </c>
      <c r="C18" s="89">
        <f>C15-C17</f>
        <v>0</v>
      </c>
      <c r="D18" s="89">
        <f t="shared" ref="D18:F18" si="9">D15-D17</f>
        <v>0</v>
      </c>
      <c r="E18" s="89">
        <f t="shared" si="9"/>
        <v>0</v>
      </c>
      <c r="F18" s="89">
        <f t="shared" si="9"/>
        <v>0</v>
      </c>
      <c r="H18" s="41">
        <f>'9. T5 KASSABUDJETTI '!B26</f>
        <v>10</v>
      </c>
      <c r="I18" s="41" t="str">
        <f>'9. T5 KASSABUDJETTI '!C26</f>
        <v xml:space="preserve"> Vuokrat ja vastikkeet sis. alv</v>
      </c>
      <c r="J18">
        <f>'9. T5 KASSABUDJETTI '!F26</f>
        <v>24</v>
      </c>
      <c r="K18">
        <f>'9. T5 KASSABUDJETTI '!G26</f>
        <v>0</v>
      </c>
      <c r="L18">
        <f>'9. T5 KASSABUDJETTI '!H26</f>
        <v>0</v>
      </c>
      <c r="M18">
        <f>'9. T5 KASSABUDJETTI '!I26</f>
        <v>0</v>
      </c>
      <c r="N18">
        <f>'9. T5 KASSABUDJETTI '!J26</f>
        <v>0</v>
      </c>
      <c r="O18">
        <f>'9. T5 KASSABUDJETTI '!K26</f>
        <v>0</v>
      </c>
      <c r="P18">
        <f>'9. T5 KASSABUDJETTI '!L26</f>
        <v>0</v>
      </c>
      <c r="Q18">
        <f>'9. T5 KASSABUDJETTI '!M26</f>
        <v>0</v>
      </c>
      <c r="R18">
        <f>'9. T5 KASSABUDJETTI '!N26</f>
        <v>0</v>
      </c>
      <c r="S18">
        <f>'9. T5 KASSABUDJETTI '!O26</f>
        <v>0</v>
      </c>
      <c r="T18">
        <f>'9. T5 KASSABUDJETTI '!P26</f>
        <v>0</v>
      </c>
      <c r="U18">
        <f>'9. T5 KASSABUDJETTI '!Q26</f>
        <v>0</v>
      </c>
      <c r="V18">
        <f>'9. T5 KASSABUDJETTI '!R26</f>
        <v>0</v>
      </c>
    </row>
    <row r="19" spans="1:22" x14ac:dyDescent="0.2">
      <c r="A19" s="4" t="str">
        <f>'1. T1 INVESTOINTISUUN.'!B27</f>
        <v>4.</v>
      </c>
      <c r="B19" s="184" t="str">
        <f>'1. T1 INVESTOINTISUUN.'!C27</f>
        <v xml:space="preserve">Koneet ja kalusto sis. alv </v>
      </c>
      <c r="C19" s="184">
        <f>'1. T1 INVESTOINTISUUN.'!D27</f>
        <v>0</v>
      </c>
      <c r="D19" s="184">
        <f>'1. T1 INVESTOINTISUUN.'!E27</f>
        <v>0</v>
      </c>
      <c r="E19" s="184">
        <f>'1. T1 INVESTOINTISUUN.'!F27</f>
        <v>0</v>
      </c>
      <c r="F19" s="184">
        <f>'1. T1 INVESTOINTISUUN.'!G27</f>
        <v>0</v>
      </c>
      <c r="G19" s="4"/>
      <c r="I19" s="467" t="s">
        <v>362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 x14ac:dyDescent="0.2">
      <c r="A20" s="4"/>
      <c r="B20" s="184" t="s">
        <v>462</v>
      </c>
      <c r="C20" s="567">
        <f>'1. T1 INVESTOINTISUUN.'!D56</f>
        <v>0</v>
      </c>
      <c r="D20" s="567">
        <f>'1. T1 INVESTOINTISUUN.'!E56</f>
        <v>0</v>
      </c>
      <c r="E20" s="567">
        <f>'1. T1 INVESTOINTISUUN.'!F56</f>
        <v>0</v>
      </c>
      <c r="F20" s="567">
        <f>'1. T1 INVESTOINTISUUN.'!G56</f>
        <v>0</v>
      </c>
      <c r="G20" s="4"/>
      <c r="I20" s="467"/>
    </row>
    <row r="21" spans="1:22" x14ac:dyDescent="0.2">
      <c r="A21" s="4" t="s">
        <v>0</v>
      </c>
      <c r="B21" s="184" t="s">
        <v>463</v>
      </c>
      <c r="C21" s="206">
        <f>C19-C20</f>
        <v>0</v>
      </c>
      <c r="D21" s="206">
        <f>D19-D20</f>
        <v>0</v>
      </c>
      <c r="E21" s="206">
        <f>E19-E20</f>
        <v>0</v>
      </c>
      <c r="F21" s="206">
        <f>F19-F20</f>
        <v>0</v>
      </c>
      <c r="G21" s="463"/>
      <c r="H21" s="41">
        <f>'9. T5 KASSABUDJETTI '!B27</f>
        <v>11</v>
      </c>
      <c r="I21" s="41" t="str">
        <f>'9. T5 KASSABUDJETTI '!C27</f>
        <v xml:space="preserve"> Leasing- ja vuokrakulut, liikekäyttö</v>
      </c>
      <c r="J21">
        <f>'9. T5 KASSABUDJETTI '!F27</f>
        <v>24</v>
      </c>
      <c r="K21">
        <f>'9. T5 KASSABUDJETTI '!G27</f>
        <v>0</v>
      </c>
      <c r="L21">
        <f>'9. T5 KASSABUDJETTI '!H27</f>
        <v>0</v>
      </c>
      <c r="M21">
        <f>'9. T5 KASSABUDJETTI '!I27</f>
        <v>0</v>
      </c>
      <c r="N21">
        <f>'9. T5 KASSABUDJETTI '!J27</f>
        <v>0</v>
      </c>
      <c r="O21">
        <f>'9. T5 KASSABUDJETTI '!K27</f>
        <v>0</v>
      </c>
      <c r="P21">
        <f>'9. T5 KASSABUDJETTI '!L27</f>
        <v>0</v>
      </c>
      <c r="Q21">
        <f>'9. T5 KASSABUDJETTI '!M27</f>
        <v>0</v>
      </c>
      <c r="R21">
        <f>'9. T5 KASSABUDJETTI '!N27</f>
        <v>0</v>
      </c>
      <c r="S21">
        <f>'9. T5 KASSABUDJETTI '!O27</f>
        <v>0</v>
      </c>
      <c r="T21">
        <f>'9. T5 KASSABUDJETTI '!P27</f>
        <v>0</v>
      </c>
      <c r="U21">
        <f>'9. T5 KASSABUDJETTI '!Q27</f>
        <v>0</v>
      </c>
      <c r="V21">
        <f>'9. T5 KASSABUDJETTI '!R27</f>
        <v>0</v>
      </c>
    </row>
    <row r="22" spans="1:22" x14ac:dyDescent="0.2">
      <c r="A22" s="4"/>
      <c r="B22" s="184" t="str">
        <f>'1. T1 INVESTOINTISUUN.'!C28</f>
        <v xml:space="preserve"> - arvonlisävero-%</v>
      </c>
      <c r="C22" s="185">
        <f>'1. T1 INVESTOINTISUUN.'!D28</f>
        <v>0.24</v>
      </c>
      <c r="D22" s="185">
        <f>'1. T1 INVESTOINTISUUN.'!E28</f>
        <v>0.24</v>
      </c>
      <c r="E22" s="185">
        <f>'1. T1 INVESTOINTISUUN.'!F28</f>
        <v>0.24</v>
      </c>
      <c r="F22" s="185">
        <f>'1. T1 INVESTOINTISUUN.'!G28</f>
        <v>0.24</v>
      </c>
      <c r="G22" s="464"/>
      <c r="I22" s="467" t="s">
        <v>362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 x14ac:dyDescent="0.2">
      <c r="A23" s="4"/>
      <c r="B23" s="184" t="s">
        <v>464</v>
      </c>
      <c r="C23" s="186">
        <f>C21/(1+C22)</f>
        <v>0</v>
      </c>
      <c r="D23" s="186">
        <f>D21/(1+D22)</f>
        <v>0</v>
      </c>
      <c r="E23" s="186">
        <f>E21/(1+E22)</f>
        <v>0</v>
      </c>
      <c r="F23" s="186">
        <f>F21/(1+F22)</f>
        <v>0</v>
      </c>
      <c r="G23" s="464"/>
      <c r="H23" s="41">
        <f>'9. T5 KASSABUDJETTI '!B28</f>
        <v>12</v>
      </c>
      <c r="I23" s="41" t="str">
        <f>'9. T5 KASSABUDJETTI '!C28</f>
        <v xml:space="preserve"> Muut kiinteät kulut sis. alv</v>
      </c>
      <c r="J23">
        <f>'9. T5 KASSABUDJETTI '!F28</f>
        <v>24</v>
      </c>
      <c r="K23">
        <f>'9. T5 KASSABUDJETTI '!G28</f>
        <v>0</v>
      </c>
      <c r="L23">
        <f>'9. T5 KASSABUDJETTI '!H28</f>
        <v>0</v>
      </c>
      <c r="M23">
        <f>'9. T5 KASSABUDJETTI '!I28</f>
        <v>0</v>
      </c>
      <c r="N23">
        <f>'9. T5 KASSABUDJETTI '!J28</f>
        <v>0</v>
      </c>
      <c r="O23">
        <f>'9. T5 KASSABUDJETTI '!K28</f>
        <v>0</v>
      </c>
      <c r="P23">
        <f>'9. T5 KASSABUDJETTI '!L28</f>
        <v>0</v>
      </c>
      <c r="Q23">
        <f>'9. T5 KASSABUDJETTI '!M28</f>
        <v>0</v>
      </c>
      <c r="R23">
        <f>'9. T5 KASSABUDJETTI '!N28</f>
        <v>0</v>
      </c>
      <c r="S23">
        <f>'9. T5 KASSABUDJETTI '!O28</f>
        <v>0</v>
      </c>
      <c r="T23">
        <f>'9. T5 KASSABUDJETTI '!P28</f>
        <v>0</v>
      </c>
      <c r="U23">
        <f>'9. T5 KASSABUDJETTI '!Q28</f>
        <v>0</v>
      </c>
      <c r="V23">
        <f>'9. T5 KASSABUDJETTI '!R28</f>
        <v>0</v>
      </c>
    </row>
    <row r="24" spans="1:22" x14ac:dyDescent="0.2">
      <c r="A24" s="4" t="s">
        <v>0</v>
      </c>
      <c r="B24" s="184" t="s">
        <v>203</v>
      </c>
      <c r="C24" s="186">
        <f>C21-C23</f>
        <v>0</v>
      </c>
      <c r="D24" s="186">
        <f>D21-D23</f>
        <v>0</v>
      </c>
      <c r="E24" s="186">
        <f>E21-E23</f>
        <v>0</v>
      </c>
      <c r="F24" s="186">
        <f>F21-F23</f>
        <v>0</v>
      </c>
      <c r="G24" s="463"/>
      <c r="H24" s="21"/>
      <c r="I24" s="467" t="s">
        <v>362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 x14ac:dyDescent="0.2">
      <c r="A25" s="4"/>
      <c r="B25" s="184" t="s">
        <v>200</v>
      </c>
      <c r="C25" s="185">
        <f>'1. T1 INVESTOINTISUUN.'!D29</f>
        <v>0</v>
      </c>
      <c r="D25" s="185">
        <f>'1. T1 INVESTOINTISUUN.'!E29</f>
        <v>0</v>
      </c>
      <c r="E25" s="185">
        <f>'1. T1 INVESTOINTISUUN.'!F29</f>
        <v>0</v>
      </c>
      <c r="F25" s="185">
        <f>'1. T1 INVESTOINTISUUN.'!G29</f>
        <v>0</v>
      </c>
      <c r="G25" s="464"/>
      <c r="H25" s="21"/>
      <c r="I25" s="470" t="s">
        <v>364</v>
      </c>
      <c r="J25" s="469"/>
      <c r="K25" s="469">
        <f t="shared" ref="K25:V25" si="13">K11+K13+K15+K17+K19+K22+K24</f>
        <v>0</v>
      </c>
      <c r="L25" s="469">
        <f t="shared" si="13"/>
        <v>0</v>
      </c>
      <c r="M25" s="469">
        <f t="shared" si="13"/>
        <v>0</v>
      </c>
      <c r="N25" s="469">
        <f t="shared" si="13"/>
        <v>0</v>
      </c>
      <c r="O25" s="469">
        <f t="shared" si="13"/>
        <v>0</v>
      </c>
      <c r="P25" s="469">
        <f t="shared" si="13"/>
        <v>0</v>
      </c>
      <c r="Q25" s="469">
        <f t="shared" si="13"/>
        <v>0</v>
      </c>
      <c r="R25" s="469">
        <f t="shared" si="13"/>
        <v>0</v>
      </c>
      <c r="S25" s="469">
        <f t="shared" si="13"/>
        <v>0</v>
      </c>
      <c r="T25" s="469">
        <f t="shared" si="13"/>
        <v>0</v>
      </c>
      <c r="U25" s="469">
        <f t="shared" si="13"/>
        <v>0</v>
      </c>
      <c r="V25" s="469">
        <f t="shared" si="13"/>
        <v>0</v>
      </c>
    </row>
    <row r="26" spans="1:22" x14ac:dyDescent="0.2">
      <c r="B26" s="184" t="s">
        <v>205</v>
      </c>
      <c r="C26" s="186">
        <f>C23*C25</f>
        <v>0</v>
      </c>
      <c r="D26" s="186">
        <f>D23*D25</f>
        <v>0</v>
      </c>
      <c r="E26" s="186">
        <f>E23*E25</f>
        <v>0</v>
      </c>
      <c r="F26" s="186">
        <f>F23*F25</f>
        <v>0</v>
      </c>
      <c r="G26" s="41"/>
      <c r="H26" s="27"/>
      <c r="I26" s="27" t="s">
        <v>365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 x14ac:dyDescent="0.2">
      <c r="B27" s="184" t="s">
        <v>247</v>
      </c>
      <c r="C27" s="206">
        <f>C23-C26</f>
        <v>0</v>
      </c>
      <c r="D27" s="206">
        <f>D23-D26</f>
        <v>0</v>
      </c>
      <c r="E27" s="206">
        <f>E23-E26</f>
        <v>0</v>
      </c>
      <c r="F27" s="206">
        <f>F23-F26</f>
        <v>0</v>
      </c>
      <c r="G27" s="4"/>
      <c r="H27" s="21"/>
      <c r="I27" s="21"/>
    </row>
    <row r="28" spans="1:22" x14ac:dyDescent="0.2">
      <c r="A28" s="4" t="str">
        <f>'1. T1 INVESTOINTISUUN.'!B30</f>
        <v>5.</v>
      </c>
      <c r="B28" s="184" t="str">
        <f>'1. T1 INVESTOINTISUUN.'!C30</f>
        <v>Koneet ja kalusto alv 0 %</v>
      </c>
      <c r="C28" s="184">
        <f>'1. T1 INVESTOINTISUUN.'!D30</f>
        <v>0</v>
      </c>
      <c r="D28" s="184">
        <f>'1. T1 INVESTOINTISUUN.'!E30</f>
        <v>0</v>
      </c>
      <c r="E28" s="184">
        <f>'1. T1 INVESTOINTISUUN.'!F30</f>
        <v>0</v>
      </c>
      <c r="F28" s="184">
        <f>'1. T1 INVESTOINTISUUN.'!G30</f>
        <v>0</v>
      </c>
      <c r="G28" s="463"/>
      <c r="H28" s="21"/>
      <c r="I28" s="21"/>
    </row>
    <row r="29" spans="1:22" x14ac:dyDescent="0.2">
      <c r="A29" s="4"/>
      <c r="B29" s="184" t="s">
        <v>462</v>
      </c>
      <c r="C29" s="567">
        <f>'1. T1 INVESTOINTISUUN.'!D57</f>
        <v>0</v>
      </c>
      <c r="D29" s="567">
        <f>'1. T1 INVESTOINTISUUN.'!E57</f>
        <v>0</v>
      </c>
      <c r="E29" s="567">
        <f>'1. T1 INVESTOINTISUUN.'!F57</f>
        <v>0</v>
      </c>
      <c r="F29" s="567">
        <f>'1. T1 INVESTOINTISUUN.'!G57</f>
        <v>0</v>
      </c>
      <c r="G29" s="4"/>
      <c r="I29" s="467"/>
    </row>
    <row r="30" spans="1:22" x14ac:dyDescent="0.2">
      <c r="A30" s="4" t="s">
        <v>0</v>
      </c>
      <c r="B30" s="184" t="s">
        <v>496</v>
      </c>
      <c r="C30" s="206">
        <f>C28-C29</f>
        <v>0</v>
      </c>
      <c r="D30" s="206">
        <f>D28-D29</f>
        <v>0</v>
      </c>
      <c r="E30" s="206">
        <f>E28-E29</f>
        <v>0</v>
      </c>
      <c r="F30" s="206">
        <f>F28-F29</f>
        <v>0</v>
      </c>
      <c r="G30" s="463"/>
      <c r="H30" s="41">
        <f>'9. T5 KASSABUDJETTI '!B37</f>
        <v>21</v>
      </c>
      <c r="I30" s="41" t="str">
        <f>'9. T5 KASSABUDJETTI '!C37</f>
        <v xml:space="preserve"> Rahoitusmenot</v>
      </c>
      <c r="J30">
        <f>'9. T5 KASSABUDJETTI '!F37</f>
        <v>0</v>
      </c>
      <c r="K30">
        <f>'9. T5 KASSABUDJETTI '!G37</f>
        <v>0</v>
      </c>
      <c r="L30">
        <f>'9. T5 KASSABUDJETTI '!H37</f>
        <v>0</v>
      </c>
      <c r="M30">
        <f>'9. T5 KASSABUDJETTI '!I37</f>
        <v>0</v>
      </c>
      <c r="N30">
        <f>'9. T5 KASSABUDJETTI '!J37</f>
        <v>0</v>
      </c>
      <c r="O30">
        <f>'9. T5 KASSABUDJETTI '!K37</f>
        <v>0</v>
      </c>
      <c r="P30">
        <f>'9. T5 KASSABUDJETTI '!L37</f>
        <v>0</v>
      </c>
      <c r="Q30">
        <f>'9. T5 KASSABUDJETTI '!M37</f>
        <v>0</v>
      </c>
      <c r="R30">
        <f>'9. T5 KASSABUDJETTI '!N37</f>
        <v>0</v>
      </c>
      <c r="S30">
        <f>'9. T5 KASSABUDJETTI '!O37</f>
        <v>0</v>
      </c>
      <c r="T30">
        <f>'9. T5 KASSABUDJETTI '!P37</f>
        <v>0</v>
      </c>
      <c r="U30">
        <f>'9. T5 KASSABUDJETTI '!Q37</f>
        <v>0</v>
      </c>
      <c r="V30">
        <f>'9. T5 KASSABUDJETTI '!R37</f>
        <v>0</v>
      </c>
    </row>
    <row r="31" spans="1:22" x14ac:dyDescent="0.2">
      <c r="A31" s="4"/>
      <c r="B31" s="184" t="str">
        <f>'1. T1 INVESTOINTISUUN.'!C31</f>
        <v xml:space="preserve"> - avustus-%</v>
      </c>
      <c r="C31" s="580">
        <f>'1. T1 INVESTOINTISUUN.'!D31</f>
        <v>0</v>
      </c>
      <c r="D31" s="580">
        <f>'1. T1 INVESTOINTISUUN.'!E31</f>
        <v>0</v>
      </c>
      <c r="E31" s="580">
        <f>'1. T1 INVESTOINTISUUN.'!F31</f>
        <v>0</v>
      </c>
      <c r="F31" s="580">
        <f>'1. T1 INVESTOINTISUUN.'!G31</f>
        <v>0</v>
      </c>
      <c r="G31" s="185"/>
      <c r="I31" s="21"/>
      <c r="J31" s="21"/>
    </row>
    <row r="32" spans="1:22" x14ac:dyDescent="0.2">
      <c r="A32" s="4"/>
      <c r="B32" s="184" t="s">
        <v>205</v>
      </c>
      <c r="C32" s="89">
        <f>C31*C30</f>
        <v>0</v>
      </c>
      <c r="D32" s="89">
        <f t="shared" ref="D32:F32" si="15">D31*D30</f>
        <v>0</v>
      </c>
      <c r="E32" s="89">
        <f t="shared" si="15"/>
        <v>0</v>
      </c>
      <c r="F32" s="89">
        <f t="shared" si="15"/>
        <v>0</v>
      </c>
      <c r="G32" s="89"/>
      <c r="I32" s="27"/>
      <c r="J32" s="27"/>
      <c r="L32">
        <v>0</v>
      </c>
    </row>
    <row r="33" spans="1:10" x14ac:dyDescent="0.2">
      <c r="B33" s="184" t="s">
        <v>247</v>
      </c>
      <c r="C33" s="206">
        <f>C30-C32</f>
        <v>0</v>
      </c>
      <c r="D33" s="206">
        <f t="shared" ref="D33:F33" si="16">D30-D32</f>
        <v>0</v>
      </c>
      <c r="E33" s="206">
        <f t="shared" si="16"/>
        <v>0</v>
      </c>
      <c r="F33" s="206">
        <f t="shared" si="16"/>
        <v>0</v>
      </c>
      <c r="G33" s="89"/>
      <c r="H33" s="4"/>
      <c r="I33" s="41"/>
      <c r="J33" s="41"/>
    </row>
    <row r="34" spans="1:10" x14ac:dyDescent="0.2">
      <c r="A34" s="4" t="str">
        <f>'1. T1 INVESTOINTISUUN.'!B32</f>
        <v>6.</v>
      </c>
      <c r="B34" s="184" t="str">
        <f>'1. T1 INVESTOINTISUUN.'!C32</f>
        <v>Muut aineelliset hyödykkeet sis. alv</v>
      </c>
      <c r="C34" s="184">
        <f>'1. T1 INVESTOINTISUUN.'!D32</f>
        <v>0</v>
      </c>
      <c r="D34" s="184">
        <f>'1. T1 INVESTOINTISUUN.'!E32</f>
        <v>0</v>
      </c>
      <c r="E34" s="184">
        <f>'1. T1 INVESTOINTISUUN.'!F32</f>
        <v>0</v>
      </c>
      <c r="F34" s="184">
        <f>'1. T1 INVESTOINTISUUN.'!G32</f>
        <v>0</v>
      </c>
      <c r="G34" s="463"/>
      <c r="H34" s="41"/>
      <c r="I34" s="41"/>
    </row>
    <row r="35" spans="1:10" x14ac:dyDescent="0.2">
      <c r="A35" s="4"/>
      <c r="B35" s="184" t="str">
        <f>'1. T1 INVESTOINTISUUN.'!C33</f>
        <v xml:space="preserve"> - arvonlisävero-%</v>
      </c>
      <c r="C35" s="185">
        <f>'1. T1 INVESTOINTISUUN.'!D33</f>
        <v>0.24</v>
      </c>
      <c r="D35" s="185">
        <f>'1. T1 INVESTOINTISUUN.'!E33</f>
        <v>0.24</v>
      </c>
      <c r="E35" s="185">
        <f>'1. T1 INVESTOINTISUUN.'!F33</f>
        <v>0.24</v>
      </c>
      <c r="F35" s="185">
        <f>'1. T1 INVESTOINTISUUN.'!G33</f>
        <v>0.24</v>
      </c>
      <c r="G35" s="464"/>
      <c r="H35" s="41"/>
      <c r="I35" s="41"/>
    </row>
    <row r="36" spans="1:10" x14ac:dyDescent="0.2">
      <c r="A36" s="4"/>
      <c r="B36" s="184" t="s">
        <v>204</v>
      </c>
      <c r="C36" s="186">
        <f>C34/(1+C35)</f>
        <v>0</v>
      </c>
      <c r="D36" s="186">
        <f>D34/(1+D35)</f>
        <v>0</v>
      </c>
      <c r="E36" s="186">
        <f>E34/(1+E35)</f>
        <v>0</v>
      </c>
      <c r="F36" s="186">
        <f>F34/(1+F35)</f>
        <v>0</v>
      </c>
      <c r="G36" s="464"/>
      <c r="H36" s="41"/>
      <c r="I36" s="41"/>
    </row>
    <row r="37" spans="1:10" x14ac:dyDescent="0.2">
      <c r="A37" s="4"/>
      <c r="B37" s="184" t="s">
        <v>203</v>
      </c>
      <c r="C37" s="186">
        <f>C34-C36</f>
        <v>0</v>
      </c>
      <c r="D37" s="186">
        <f>D34-D36</f>
        <v>0</v>
      </c>
      <c r="E37" s="186">
        <f>E34-E36</f>
        <v>0</v>
      </c>
      <c r="F37" s="186">
        <f>F34-F36</f>
        <v>0</v>
      </c>
      <c r="G37" s="463"/>
      <c r="H37" s="41"/>
      <c r="I37" s="41"/>
    </row>
    <row r="38" spans="1:10" x14ac:dyDescent="0.2">
      <c r="A38" s="4"/>
      <c r="B38" s="184" t="str">
        <f>'1. T1 INVESTOINTISUUN.'!C34</f>
        <v xml:space="preserve"> - avustus-%</v>
      </c>
      <c r="C38" s="185">
        <f>'1. T1 INVESTOINTISUUN.'!D34</f>
        <v>0</v>
      </c>
      <c r="D38" s="185">
        <f>'1. T1 INVESTOINTISUUN.'!E34</f>
        <v>0</v>
      </c>
      <c r="E38" s="185">
        <f>'1. T1 INVESTOINTISUUN.'!F34</f>
        <v>0</v>
      </c>
      <c r="F38" s="185">
        <f>'1. T1 INVESTOINTISUUN.'!G34</f>
        <v>0</v>
      </c>
      <c r="G38" s="464"/>
      <c r="H38" s="41"/>
      <c r="I38" s="41"/>
    </row>
    <row r="39" spans="1:10" x14ac:dyDescent="0.2">
      <c r="A39" s="4"/>
      <c r="B39" s="184" t="s">
        <v>205</v>
      </c>
      <c r="C39" s="186">
        <f>C36*C38</f>
        <v>0</v>
      </c>
      <c r="D39" s="186">
        <f>D36*D38</f>
        <v>0</v>
      </c>
      <c r="E39" s="186">
        <f>E36*E38</f>
        <v>0</v>
      </c>
      <c r="F39" s="186">
        <f>F36*F38</f>
        <v>0</v>
      </c>
      <c r="G39" s="41"/>
      <c r="H39" s="27"/>
      <c r="I39" s="27"/>
    </row>
    <row r="40" spans="1:10" x14ac:dyDescent="0.2">
      <c r="B40" s="184" t="s">
        <v>247</v>
      </c>
      <c r="C40" s="206">
        <f>C36-C39</f>
        <v>0</v>
      </c>
      <c r="D40" s="206">
        <f>D36-D39</f>
        <v>0</v>
      </c>
      <c r="E40" s="206">
        <f>E36-E39</f>
        <v>0</v>
      </c>
      <c r="F40" s="206">
        <f>F36-F39</f>
        <v>0</v>
      </c>
      <c r="G40" s="4"/>
      <c r="H40" s="41"/>
      <c r="I40" s="41"/>
    </row>
    <row r="41" spans="1:10" x14ac:dyDescent="0.2">
      <c r="A41" s="4" t="str">
        <f>'1. T1 INVESTOINTISUUN.'!B35</f>
        <v>7.</v>
      </c>
      <c r="B41" s="184" t="str">
        <f>'1. T1 INVESTOINTISUUN.'!C35</f>
        <v>Aineettomat hyödykkeet sis. alv</v>
      </c>
      <c r="C41" s="184">
        <f>'1. T1 INVESTOINTISUUN.'!D35</f>
        <v>0</v>
      </c>
      <c r="D41" s="184">
        <f>'1. T1 INVESTOINTISUUN.'!E35</f>
        <v>0</v>
      </c>
      <c r="E41" s="184">
        <f>'1. T1 INVESTOINTISUUN.'!F35</f>
        <v>0</v>
      </c>
      <c r="F41" s="184">
        <f>'1. T1 INVESTOINTISUUN.'!G35</f>
        <v>0</v>
      </c>
      <c r="G41" s="465"/>
      <c r="H41" s="41"/>
      <c r="I41" s="41"/>
    </row>
    <row r="42" spans="1:10" x14ac:dyDescent="0.2">
      <c r="A42" s="4"/>
      <c r="B42" s="184" t="str">
        <f>'1. T1 INVESTOINTISUUN.'!C36</f>
        <v xml:space="preserve"> - arvonlisävero-%</v>
      </c>
      <c r="C42" s="282">
        <f>'1. T1 INVESTOINTISUUN.'!D36</f>
        <v>0.24</v>
      </c>
      <c r="D42" s="282">
        <f>'1. T1 INVESTOINTISUUN.'!E36</f>
        <v>0.24</v>
      </c>
      <c r="E42" s="282">
        <f>'1. T1 INVESTOINTISUUN.'!F36</f>
        <v>0.24</v>
      </c>
      <c r="F42" s="282">
        <f>'1. T1 INVESTOINTISUUN.'!G36</f>
        <v>0.24</v>
      </c>
      <c r="G42" s="464"/>
      <c r="H42" s="41"/>
      <c r="I42" s="41"/>
    </row>
    <row r="43" spans="1:10" x14ac:dyDescent="0.2">
      <c r="A43" s="4"/>
      <c r="B43" s="184" t="s">
        <v>204</v>
      </c>
      <c r="C43" s="186">
        <f>C41/(1+C42)</f>
        <v>0</v>
      </c>
      <c r="D43" s="186">
        <f>D41/(1+D42)</f>
        <v>0</v>
      </c>
      <c r="E43" s="186">
        <f>E41/(1+E42)</f>
        <v>0</v>
      </c>
      <c r="F43" s="186">
        <f>F41/(1+F42)</f>
        <v>0</v>
      </c>
      <c r="G43" s="464"/>
      <c r="H43" s="41"/>
      <c r="I43" s="41"/>
    </row>
    <row r="44" spans="1:10" x14ac:dyDescent="0.2">
      <c r="A44" s="4"/>
      <c r="B44" s="184" t="s">
        <v>203</v>
      </c>
      <c r="C44" s="186">
        <f>C41-C43</f>
        <v>0</v>
      </c>
      <c r="D44" s="186">
        <f>D41-D43</f>
        <v>0</v>
      </c>
      <c r="E44" s="186">
        <f>E41-E43</f>
        <v>0</v>
      </c>
      <c r="F44" s="186">
        <f>F41-F43</f>
        <v>0</v>
      </c>
      <c r="G44" s="463"/>
      <c r="H44" s="41"/>
      <c r="I44" s="41"/>
    </row>
    <row r="45" spans="1:10" x14ac:dyDescent="0.2">
      <c r="A45" s="4"/>
      <c r="B45" s="184" t="s">
        <v>200</v>
      </c>
      <c r="C45" s="185">
        <f>'1. T1 INVESTOINTISUUN.'!D37</f>
        <v>0</v>
      </c>
      <c r="D45" s="185">
        <f>'1. T1 INVESTOINTISUUN.'!E37</f>
        <v>0</v>
      </c>
      <c r="E45" s="185">
        <f>'1. T1 INVESTOINTISUUN.'!F37</f>
        <v>0</v>
      </c>
      <c r="F45" s="185">
        <f>'1. T1 INVESTOINTISUUN.'!G37</f>
        <v>0</v>
      </c>
      <c r="G45" s="464"/>
      <c r="H45" s="41"/>
      <c r="I45" s="41"/>
    </row>
    <row r="46" spans="1:10" x14ac:dyDescent="0.2">
      <c r="B46" s="184" t="s">
        <v>205</v>
      </c>
      <c r="C46" s="186">
        <f>C43*C45</f>
        <v>0</v>
      </c>
      <c r="D46" s="186">
        <f>D43*D45</f>
        <v>0</v>
      </c>
      <c r="E46" s="186">
        <f>E43*E45</f>
        <v>0</v>
      </c>
      <c r="F46" s="186">
        <f>F43*F45</f>
        <v>0</v>
      </c>
      <c r="G46" s="41"/>
      <c r="H46" s="27"/>
      <c r="I46" s="27"/>
    </row>
    <row r="47" spans="1:10" x14ac:dyDescent="0.2">
      <c r="A47" s="4"/>
      <c r="B47" s="184" t="s">
        <v>247</v>
      </c>
      <c r="C47" s="206">
        <f>C43-C46</f>
        <v>0</v>
      </c>
      <c r="D47" s="206">
        <f>D43-D46</f>
        <v>0</v>
      </c>
      <c r="E47" s="206">
        <f>E43-E46</f>
        <v>0</v>
      </c>
      <c r="F47" s="206">
        <f>F43-F46</f>
        <v>0</v>
      </c>
      <c r="G47" s="4"/>
    </row>
    <row r="48" spans="1:10" x14ac:dyDescent="0.2">
      <c r="A48" s="4"/>
      <c r="B48" s="4" t="s">
        <v>206</v>
      </c>
      <c r="C48" s="33">
        <f>C11+C24+C37+C44</f>
        <v>0</v>
      </c>
      <c r="D48" s="33">
        <f>D11+D24+D37+D44</f>
        <v>0</v>
      </c>
      <c r="E48" s="33">
        <f>E11+E24+E37+E44</f>
        <v>0</v>
      </c>
      <c r="F48" s="33">
        <f>F11+F24+F37+F44</f>
        <v>0</v>
      </c>
      <c r="G48" s="33"/>
    </row>
    <row r="49" spans="1:7" x14ac:dyDescent="0.2">
      <c r="A49" s="4"/>
      <c r="B49" s="4" t="s">
        <v>207</v>
      </c>
      <c r="C49" s="33">
        <f>C6+C13+C17+C26+C39+C46+C32</f>
        <v>0</v>
      </c>
      <c r="D49" s="33">
        <f t="shared" ref="D49:E49" si="17">D6+D13+D17+D26+D39+D46+D32</f>
        <v>0</v>
      </c>
      <c r="E49" s="33">
        <f t="shared" si="17"/>
        <v>0</v>
      </c>
      <c r="F49" s="33">
        <f>F6+F13+F17+F26+F39+F46+F32</f>
        <v>0</v>
      </c>
      <c r="G49" s="1"/>
    </row>
    <row r="50" spans="1:7" x14ac:dyDescent="0.2">
      <c r="A50" s="4"/>
      <c r="B50" s="4" t="s">
        <v>0</v>
      </c>
      <c r="C50" s="4"/>
      <c r="D50" s="4"/>
      <c r="E50" s="4"/>
      <c r="F50" s="1"/>
      <c r="G50" s="1"/>
    </row>
    <row r="51" spans="1:7" x14ac:dyDescent="0.2">
      <c r="A51" s="4"/>
      <c r="B51" s="4"/>
      <c r="C51" s="4"/>
      <c r="D51" s="4"/>
      <c r="E51" s="4"/>
      <c r="F51" s="1"/>
      <c r="G51" s="1"/>
    </row>
    <row r="52" spans="1:7" x14ac:dyDescent="0.2">
      <c r="A52" s="4"/>
      <c r="B52" s="4"/>
      <c r="C52" s="4"/>
      <c r="D52" s="4"/>
      <c r="E52" s="4"/>
      <c r="F52" s="1"/>
      <c r="G52" s="1"/>
    </row>
    <row r="53" spans="1:7" x14ac:dyDescent="0.2">
      <c r="A53" s="4"/>
      <c r="B53" s="4"/>
      <c r="C53" s="4"/>
      <c r="D53" s="4"/>
      <c r="E53" s="4"/>
      <c r="F53" s="1"/>
      <c r="G53" s="1"/>
    </row>
    <row r="54" spans="1:7" x14ac:dyDescent="0.2">
      <c r="A54" s="1"/>
      <c r="B54" s="1"/>
      <c r="C54" s="1"/>
      <c r="D54" s="1"/>
      <c r="E54" s="1"/>
      <c r="F54" s="1"/>
      <c r="G54" s="1"/>
    </row>
  </sheetData>
  <sheetProtection algorithmName="SHA-512" hashValue="bYOgyecwuKp3uNDVM+VuyIIzVkIwEbriGrkSCokDNUEOP/uXLLL5J8EOvsSpZYEn0lgZFnbkR31fiCk9SCdgpA==" saltValue="l9c5DHWb0UX30ujJ+zcMY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7272" ySplit="1728" topLeftCell="A73" activePane="bottomRight"/>
      <selection activeCell="AM18" sqref="AM18"/>
      <selection pane="topRight" activeCell="Q5" sqref="Q1:Q1048576"/>
      <selection pane="bottomLeft" activeCell="B82" sqref="B82"/>
      <selection pane="bottomRight" activeCell="J87" sqref="J87"/>
    </sheetView>
  </sheetViews>
  <sheetFormatPr defaultRowHeight="12.75" x14ac:dyDescent="0.2"/>
  <cols>
    <col min="1" max="1" width="37.140625" customWidth="1"/>
    <col min="2" max="2" width="10" customWidth="1"/>
    <col min="3" max="3" width="12.7109375" style="91" customWidth="1"/>
    <col min="4" max="4" width="11.7109375" customWidth="1"/>
    <col min="5" max="5" width="8.7109375" customWidth="1"/>
    <col min="6" max="6" width="8.85546875" customWidth="1"/>
    <col min="7" max="8" width="10" customWidth="1"/>
    <col min="9" max="9" width="8.85546875" customWidth="1"/>
    <col min="10" max="10" width="11.42578125" customWidth="1"/>
    <col min="11" max="11" width="9.42578125" customWidth="1"/>
    <col min="12" max="12" width="10.140625" customWidth="1"/>
    <col min="13" max="13" width="11.140625" customWidth="1"/>
    <col min="14" max="14" width="9.5703125" customWidth="1"/>
    <col min="15" max="15" width="9" customWidth="1"/>
    <col min="16" max="16" width="7.5703125" customWidth="1"/>
    <col min="18" max="18" width="9.85546875" customWidth="1"/>
    <col min="19" max="19" width="9.28515625" customWidth="1"/>
    <col min="20" max="20" width="10.28515625" customWidth="1"/>
    <col min="21" max="22" width="8.42578125" customWidth="1"/>
    <col min="23" max="23" width="9.140625" customWidth="1"/>
    <col min="24" max="24" width="10.85546875" customWidth="1"/>
    <col min="25" max="25" width="11" customWidth="1"/>
    <col min="26" max="26" width="10.28515625" customWidth="1"/>
    <col min="27" max="27" width="9.140625" customWidth="1"/>
  </cols>
  <sheetData>
    <row r="2" spans="1:39" ht="13.5" thickBot="1" x14ac:dyDescent="0.25"/>
    <row r="3" spans="1:39" x14ac:dyDescent="0.2">
      <c r="E3" s="2216" t="e">
        <f>'4. T7 LAINAT '!#REF!</f>
        <v>#REF!</v>
      </c>
      <c r="F3" s="2217"/>
      <c r="G3" s="2217"/>
      <c r="H3" s="2217"/>
      <c r="I3" s="2218"/>
      <c r="J3" s="2216" t="str">
        <f>'4. T7 LAINAT '!F20</f>
        <v>Ennuste 1</v>
      </c>
      <c r="K3" s="2217"/>
      <c r="L3" s="2217"/>
      <c r="M3" s="2217"/>
      <c r="N3" s="2217"/>
      <c r="O3" s="2218"/>
      <c r="P3" s="2216" t="str">
        <f>'4. T7 LAINAT '!I20</f>
        <v>Ennuste 2</v>
      </c>
      <c r="Q3" s="2217"/>
      <c r="R3" s="2217"/>
      <c r="S3" s="2217"/>
      <c r="T3" s="2217"/>
      <c r="U3" s="2218"/>
      <c r="V3" s="2216" t="str">
        <f>'4. T7 LAINAT '!L20</f>
        <v>Ennuste 3</v>
      </c>
      <c r="W3" s="2217"/>
      <c r="X3" s="2217"/>
      <c r="Y3" s="2217"/>
      <c r="Z3" s="2217"/>
      <c r="AA3" s="2218"/>
      <c r="AB3" s="2216" t="s">
        <v>259</v>
      </c>
      <c r="AC3" s="2217"/>
      <c r="AD3" s="2217"/>
      <c r="AE3" s="2217"/>
      <c r="AF3" s="2217"/>
      <c r="AG3" s="2218"/>
      <c r="AH3" s="2216" t="s">
        <v>356</v>
      </c>
      <c r="AI3" s="2217"/>
      <c r="AJ3" s="2217"/>
      <c r="AK3" s="2217"/>
      <c r="AL3" s="2217"/>
      <c r="AM3" s="2218"/>
    </row>
    <row r="4" spans="1:39" x14ac:dyDescent="0.2">
      <c r="E4" s="2209" t="e">
        <f>'4. T7 LAINAT '!#REF!</f>
        <v>#REF!</v>
      </c>
      <c r="F4" s="2210"/>
      <c r="G4" s="2210"/>
      <c r="H4" s="2210"/>
      <c r="I4" s="2211"/>
      <c r="J4" s="2209">
        <f>'4. T7 LAINAT '!F21</f>
        <v>2024</v>
      </c>
      <c r="K4" s="2210"/>
      <c r="L4" s="2210"/>
      <c r="M4" s="2210"/>
      <c r="N4" s="2210"/>
      <c r="O4" s="2211"/>
      <c r="P4" s="2209">
        <f>'4. T7 LAINAT '!I21</f>
        <v>2025</v>
      </c>
      <c r="Q4" s="2210"/>
      <c r="R4" s="2210"/>
      <c r="S4" s="2210"/>
      <c r="T4" s="2210"/>
      <c r="U4" s="2211"/>
      <c r="V4" s="2209">
        <f>'4. T7 LAINAT '!L21</f>
        <v>2026</v>
      </c>
      <c r="W4" s="2210"/>
      <c r="X4" s="2210"/>
      <c r="Y4" s="2210"/>
      <c r="Z4" s="2210"/>
      <c r="AA4" s="2211"/>
      <c r="AB4" s="2209">
        <f>'4. T7 LAINAT '!O21</f>
        <v>2027</v>
      </c>
      <c r="AC4" s="2210"/>
      <c r="AD4" s="2210"/>
      <c r="AE4" s="2210"/>
      <c r="AF4" s="2210"/>
      <c r="AG4" s="2211"/>
      <c r="AH4" s="2209">
        <f>'4. T7 LAINAT '!O21+1</f>
        <v>2028</v>
      </c>
      <c r="AI4" s="2210"/>
      <c r="AJ4" s="2210"/>
      <c r="AK4" s="2210"/>
      <c r="AL4" s="2210"/>
      <c r="AM4" s="2211"/>
    </row>
    <row r="5" spans="1:39" x14ac:dyDescent="0.2">
      <c r="B5" s="2"/>
      <c r="C5" s="6" t="s">
        <v>136</v>
      </c>
      <c r="D5" s="2"/>
      <c r="E5" s="302"/>
      <c r="F5" s="303"/>
      <c r="G5" s="303"/>
      <c r="H5" s="303"/>
      <c r="I5" s="304"/>
      <c r="J5" s="302"/>
      <c r="K5" s="303" t="s">
        <v>136</v>
      </c>
      <c r="L5" s="303"/>
      <c r="M5" s="303"/>
      <c r="N5" s="303"/>
      <c r="O5" s="304"/>
      <c r="P5" s="302"/>
      <c r="Q5" s="303" t="s">
        <v>136</v>
      </c>
      <c r="R5" s="303"/>
      <c r="S5" s="303"/>
      <c r="T5" s="303"/>
      <c r="U5" s="304"/>
      <c r="V5" s="302"/>
      <c r="W5" s="303" t="s">
        <v>136</v>
      </c>
      <c r="X5" s="303"/>
      <c r="Y5" s="303"/>
      <c r="Z5" s="303"/>
      <c r="AA5" s="304"/>
      <c r="AB5" s="302"/>
      <c r="AC5" s="303" t="s">
        <v>136</v>
      </c>
      <c r="AD5" s="303"/>
      <c r="AE5" s="303"/>
      <c r="AF5" s="303"/>
      <c r="AG5" s="304"/>
      <c r="AH5" s="302"/>
      <c r="AI5" s="303" t="s">
        <v>136</v>
      </c>
      <c r="AJ5" s="303"/>
      <c r="AK5" s="303"/>
      <c r="AL5" s="303"/>
      <c r="AM5" s="304"/>
    </row>
    <row r="6" spans="1:39" x14ac:dyDescent="0.2">
      <c r="A6" s="1" t="s">
        <v>260</v>
      </c>
      <c r="B6" s="6" t="s">
        <v>128</v>
      </c>
      <c r="C6" s="6" t="s">
        <v>135</v>
      </c>
      <c r="D6" s="6" t="s">
        <v>126</v>
      </c>
      <c r="E6" s="99" t="s">
        <v>129</v>
      </c>
      <c r="F6" s="95" t="s">
        <v>125</v>
      </c>
      <c r="G6" s="95" t="s">
        <v>137</v>
      </c>
      <c r="H6" s="95" t="s">
        <v>130</v>
      </c>
      <c r="I6" s="100" t="s">
        <v>126</v>
      </c>
      <c r="J6" s="99" t="s">
        <v>129</v>
      </c>
      <c r="K6" s="98" t="s">
        <v>348</v>
      </c>
      <c r="L6" s="95" t="s">
        <v>134</v>
      </c>
      <c r="M6" s="95" t="s">
        <v>137</v>
      </c>
      <c r="N6" s="95" t="s">
        <v>130</v>
      </c>
      <c r="O6" s="100" t="s">
        <v>126</v>
      </c>
      <c r="P6" s="99" t="s">
        <v>129</v>
      </c>
      <c r="Q6" s="98" t="s">
        <v>348</v>
      </c>
      <c r="R6" s="95" t="s">
        <v>134</v>
      </c>
      <c r="S6" s="95" t="s">
        <v>137</v>
      </c>
      <c r="T6" s="95" t="s">
        <v>130</v>
      </c>
      <c r="U6" s="100" t="s">
        <v>126</v>
      </c>
      <c r="V6" s="99" t="s">
        <v>129</v>
      </c>
      <c r="W6" s="98" t="s">
        <v>348</v>
      </c>
      <c r="X6" s="95" t="s">
        <v>134</v>
      </c>
      <c r="Y6" s="95" t="s">
        <v>137</v>
      </c>
      <c r="Z6" s="95" t="s">
        <v>130</v>
      </c>
      <c r="AA6" s="100" t="s">
        <v>126</v>
      </c>
      <c r="AB6" s="99" t="s">
        <v>129</v>
      </c>
      <c r="AC6" s="98" t="s">
        <v>348</v>
      </c>
      <c r="AD6" s="95" t="s">
        <v>134</v>
      </c>
      <c r="AE6" s="95" t="s">
        <v>137</v>
      </c>
      <c r="AF6" s="95" t="s">
        <v>130</v>
      </c>
      <c r="AG6" s="100" t="s">
        <v>126</v>
      </c>
      <c r="AH6" s="99" t="s">
        <v>129</v>
      </c>
      <c r="AI6" s="98" t="s">
        <v>348</v>
      </c>
      <c r="AJ6" s="95" t="s">
        <v>134</v>
      </c>
      <c r="AK6" s="95" t="s">
        <v>137</v>
      </c>
      <c r="AL6" s="95" t="s">
        <v>130</v>
      </c>
      <c r="AM6" s="100" t="s">
        <v>126</v>
      </c>
    </row>
    <row r="7" spans="1:39" x14ac:dyDescent="0.2">
      <c r="A7" s="1" t="str">
        <f>'4. T7 LAINAT '!B11</f>
        <v xml:space="preserve"> Rahoittaja/rahoitettava kohde</v>
      </c>
      <c r="B7" s="215">
        <f>'4. T7 LAINAT '!C11</f>
        <v>0</v>
      </c>
      <c r="C7" s="87">
        <f>'4. T7 LAINAT '!D11</f>
        <v>0</v>
      </c>
      <c r="D7" s="216">
        <f>'4. T7 LAINAT '!E11</f>
        <v>0</v>
      </c>
      <c r="E7" s="419"/>
      <c r="F7" s="420"/>
      <c r="G7" s="421"/>
      <c r="H7" s="421"/>
      <c r="I7" s="422"/>
      <c r="J7" s="217"/>
      <c r="K7" s="220"/>
      <c r="L7" s="218">
        <f>'4. T7 LAINAT '!F11</f>
        <v>0</v>
      </c>
      <c r="M7" s="218">
        <f>N7+L7/4</f>
        <v>0</v>
      </c>
      <c r="N7" s="218">
        <f>B7</f>
        <v>0</v>
      </c>
      <c r="O7" s="219">
        <f>'4. T7 LAINAT '!H11</f>
        <v>0</v>
      </c>
      <c r="P7" s="217"/>
      <c r="Q7" s="220"/>
      <c r="R7" s="218">
        <f>'4. T7 LAINAT '!I11</f>
        <v>0</v>
      </c>
      <c r="S7" s="218">
        <f>N7-R7/4</f>
        <v>0</v>
      </c>
      <c r="T7" s="218">
        <f>N7-R7</f>
        <v>0</v>
      </c>
      <c r="U7" s="219">
        <f>'4. T7 LAINAT '!K11</f>
        <v>0</v>
      </c>
      <c r="V7" s="217"/>
      <c r="W7" s="220"/>
      <c r="X7" s="218">
        <f>'4. T7 LAINAT '!L11</f>
        <v>0</v>
      </c>
      <c r="Y7" s="218">
        <f>T7-X7/4</f>
        <v>0</v>
      </c>
      <c r="Z7" s="218">
        <f>T7-X7</f>
        <v>0</v>
      </c>
      <c r="AA7" s="219">
        <f>'4. T7 LAINAT '!N11</f>
        <v>0</v>
      </c>
      <c r="AB7" s="217"/>
      <c r="AC7" s="220"/>
      <c r="AD7" s="218">
        <f>'4. T7 LAINAT '!O11</f>
        <v>0</v>
      </c>
      <c r="AE7" s="218">
        <f>Z7-AD7/4</f>
        <v>0</v>
      </c>
      <c r="AF7" s="218">
        <f>Z7-AD7</f>
        <v>0</v>
      </c>
      <c r="AG7" s="219">
        <f>'4. T7 LAINAT '!Q11</f>
        <v>0</v>
      </c>
      <c r="AH7" s="217"/>
      <c r="AI7" s="220"/>
      <c r="AJ7" s="218">
        <f>IF(C7=0,0,IF(B7-R7-X7-AD7&lt;AD7,AF7,'AT2 Lainat,sotum., alv-osto'!AD7))</f>
        <v>0</v>
      </c>
      <c r="AK7" s="218">
        <f>AF7-AJ7/4</f>
        <v>0</v>
      </c>
      <c r="AL7" s="218">
        <f>AF7-AJ7</f>
        <v>0</v>
      </c>
      <c r="AM7" s="219"/>
    </row>
    <row r="8" spans="1:39" x14ac:dyDescent="0.2">
      <c r="A8" s="1">
        <f>'4. T7 LAINAT '!B12</f>
        <v>0</v>
      </c>
      <c r="B8" s="215">
        <f>'4. T7 LAINAT '!C12</f>
        <v>0</v>
      </c>
      <c r="C8" s="87">
        <f>'4. T7 LAINAT '!D12</f>
        <v>0</v>
      </c>
      <c r="D8" s="216">
        <f>'4. T7 LAINAT '!E12</f>
        <v>0</v>
      </c>
      <c r="E8" s="419"/>
      <c r="F8" s="420"/>
      <c r="G8" s="421"/>
      <c r="H8" s="421"/>
      <c r="I8" s="422"/>
      <c r="J8" s="217"/>
      <c r="K8" s="220"/>
      <c r="L8" s="218">
        <f>'4. T7 LAINAT '!F12</f>
        <v>0</v>
      </c>
      <c r="M8" s="218">
        <f t="shared" ref="M8:M14" si="0">N8+L8/4</f>
        <v>0</v>
      </c>
      <c r="N8" s="218">
        <f t="shared" ref="N8:N13" si="1">B8</f>
        <v>0</v>
      </c>
      <c r="O8" s="219">
        <f>'4. T7 LAINAT '!H12</f>
        <v>0</v>
      </c>
      <c r="P8" s="217"/>
      <c r="Q8" s="220"/>
      <c r="R8" s="218">
        <f>'4. T7 LAINAT '!I12</f>
        <v>0</v>
      </c>
      <c r="S8" s="218">
        <f t="shared" ref="S8:S14" si="2">N8-R8/4</f>
        <v>0</v>
      </c>
      <c r="T8" s="218">
        <f t="shared" ref="T8:T13" si="3">N8-R8</f>
        <v>0</v>
      </c>
      <c r="U8" s="219">
        <f>'4. T7 LAINAT '!K12</f>
        <v>0</v>
      </c>
      <c r="V8" s="217"/>
      <c r="W8" s="220"/>
      <c r="X8" s="218">
        <f>'4. T7 LAINAT '!L12</f>
        <v>0</v>
      </c>
      <c r="Y8" s="218">
        <f t="shared" ref="Y8:Y14" si="4">T8-X8/4</f>
        <v>0</v>
      </c>
      <c r="Z8" s="218">
        <f t="shared" ref="Z8:Z13" si="5">T8-X8</f>
        <v>0</v>
      </c>
      <c r="AA8" s="219">
        <f>'4. T7 LAINAT '!N12</f>
        <v>0</v>
      </c>
      <c r="AB8" s="217"/>
      <c r="AC8" s="220"/>
      <c r="AD8" s="218">
        <f>'4. T7 LAINAT '!O12</f>
        <v>0</v>
      </c>
      <c r="AE8" s="218">
        <f t="shared" ref="AE8:AE14" si="6">Z8-AD8/4</f>
        <v>0</v>
      </c>
      <c r="AF8" s="218">
        <f t="shared" ref="AF8:AF13" si="7">Z8-AD8</f>
        <v>0</v>
      </c>
      <c r="AG8" s="219">
        <f>'4. T7 LAINAT '!Q12</f>
        <v>0</v>
      </c>
      <c r="AH8" s="217"/>
      <c r="AI8" s="220"/>
      <c r="AJ8" s="218">
        <f>IF(C8=0,0,IF(B8-R8-X8-AD8&lt;AD8,AF8,'AT2 Lainat,sotum., alv-osto'!AD8))</f>
        <v>0</v>
      </c>
      <c r="AK8" s="218">
        <f t="shared" ref="AK8:AK14" si="8">AF8-AJ8/4</f>
        <v>0</v>
      </c>
      <c r="AL8" s="218">
        <f t="shared" ref="AL8:AL13" si="9">AF8-AJ8</f>
        <v>0</v>
      </c>
      <c r="AM8" s="219"/>
    </row>
    <row r="9" spans="1:39" x14ac:dyDescent="0.2">
      <c r="A9" s="1">
        <f>'4. T7 LAINAT '!B13</f>
        <v>0</v>
      </c>
      <c r="B9" s="215">
        <f>'4. T7 LAINAT '!C13</f>
        <v>0</v>
      </c>
      <c r="C9" s="87">
        <f>'4. T7 LAINAT '!D13</f>
        <v>0</v>
      </c>
      <c r="D9" s="216">
        <f>'4. T7 LAINAT '!E13</f>
        <v>0</v>
      </c>
      <c r="E9" s="419"/>
      <c r="F9" s="420"/>
      <c r="G9" s="421"/>
      <c r="H9" s="421"/>
      <c r="I9" s="422"/>
      <c r="J9" s="217"/>
      <c r="K9" s="220"/>
      <c r="L9" s="218">
        <f>'4. T7 LAINAT '!F13</f>
        <v>0</v>
      </c>
      <c r="M9" s="218">
        <f t="shared" si="0"/>
        <v>0</v>
      </c>
      <c r="N9" s="218">
        <f t="shared" si="1"/>
        <v>0</v>
      </c>
      <c r="O9" s="219">
        <f>'4. T7 LAINAT '!H13</f>
        <v>0</v>
      </c>
      <c r="P9" s="217"/>
      <c r="Q9" s="220"/>
      <c r="R9" s="218">
        <f>'4. T7 LAINAT '!I13</f>
        <v>0</v>
      </c>
      <c r="S9" s="218">
        <f t="shared" si="2"/>
        <v>0</v>
      </c>
      <c r="T9" s="218">
        <f t="shared" si="3"/>
        <v>0</v>
      </c>
      <c r="U9" s="219">
        <f>'4. T7 LAINAT '!K13</f>
        <v>0</v>
      </c>
      <c r="V9" s="217"/>
      <c r="W9" s="220"/>
      <c r="X9" s="218">
        <f>'4. T7 LAINAT '!L13</f>
        <v>0</v>
      </c>
      <c r="Y9" s="218">
        <f t="shared" si="4"/>
        <v>0</v>
      </c>
      <c r="Z9" s="218">
        <f t="shared" si="5"/>
        <v>0</v>
      </c>
      <c r="AA9" s="219">
        <f>'4. T7 LAINAT '!N13</f>
        <v>0</v>
      </c>
      <c r="AB9" s="217"/>
      <c r="AC9" s="220"/>
      <c r="AD9" s="218">
        <f>'4. T7 LAINAT '!O13</f>
        <v>0</v>
      </c>
      <c r="AE9" s="218">
        <f t="shared" si="6"/>
        <v>0</v>
      </c>
      <c r="AF9" s="218">
        <f t="shared" si="7"/>
        <v>0</v>
      </c>
      <c r="AG9" s="219">
        <f>'4. T7 LAINAT '!Q13</f>
        <v>0</v>
      </c>
      <c r="AH9" s="217"/>
      <c r="AI9" s="220"/>
      <c r="AJ9" s="218">
        <f>IF(C9=0,0,IF(B9-R9-X9-AD9&lt;AD9,AF9,'AT2 Lainat,sotum., alv-osto'!AD9))</f>
        <v>0</v>
      </c>
      <c r="AK9" s="218">
        <f t="shared" si="8"/>
        <v>0</v>
      </c>
      <c r="AL9" s="218">
        <f t="shared" si="9"/>
        <v>0</v>
      </c>
      <c r="AM9" s="219"/>
    </row>
    <row r="10" spans="1:39" x14ac:dyDescent="0.2">
      <c r="A10" s="1">
        <f>'4. T7 LAINAT '!B14</f>
        <v>0</v>
      </c>
      <c r="B10" s="215">
        <f>'4. T7 LAINAT '!C14</f>
        <v>0</v>
      </c>
      <c r="C10" s="87">
        <f>'4. T7 LAINAT '!D14</f>
        <v>0</v>
      </c>
      <c r="D10" s="216">
        <f>'4. T7 LAINAT '!E14</f>
        <v>0</v>
      </c>
      <c r="E10" s="419"/>
      <c r="F10" s="420"/>
      <c r="G10" s="421"/>
      <c r="H10" s="421"/>
      <c r="I10" s="422"/>
      <c r="J10" s="217"/>
      <c r="K10" s="220"/>
      <c r="L10" s="218">
        <f>'4. T7 LAINAT '!F14</f>
        <v>0</v>
      </c>
      <c r="M10" s="218">
        <f t="shared" si="0"/>
        <v>0</v>
      </c>
      <c r="N10" s="218">
        <f t="shared" si="1"/>
        <v>0</v>
      </c>
      <c r="O10" s="219">
        <f>'4. T7 LAINAT '!H14</f>
        <v>0</v>
      </c>
      <c r="P10" s="217"/>
      <c r="Q10" s="220"/>
      <c r="R10" s="218">
        <f>'4. T7 LAINAT '!I14</f>
        <v>0</v>
      </c>
      <c r="S10" s="218">
        <f t="shared" si="2"/>
        <v>0</v>
      </c>
      <c r="T10" s="218">
        <f t="shared" si="3"/>
        <v>0</v>
      </c>
      <c r="U10" s="219">
        <f>'4. T7 LAINAT '!K14</f>
        <v>0</v>
      </c>
      <c r="V10" s="217"/>
      <c r="W10" s="220"/>
      <c r="X10" s="218">
        <f>'4. T7 LAINAT '!L14</f>
        <v>0</v>
      </c>
      <c r="Y10" s="218">
        <f t="shared" si="4"/>
        <v>0</v>
      </c>
      <c r="Z10" s="218">
        <f t="shared" si="5"/>
        <v>0</v>
      </c>
      <c r="AA10" s="219">
        <f>'4. T7 LAINAT '!N14</f>
        <v>0</v>
      </c>
      <c r="AB10" s="217"/>
      <c r="AC10" s="220"/>
      <c r="AD10" s="218">
        <f>'4. T7 LAINAT '!O14</f>
        <v>0</v>
      </c>
      <c r="AE10" s="218">
        <f t="shared" si="6"/>
        <v>0</v>
      </c>
      <c r="AF10" s="218">
        <f t="shared" si="7"/>
        <v>0</v>
      </c>
      <c r="AG10" s="219">
        <f>'4. T7 LAINAT '!Q14</f>
        <v>0</v>
      </c>
      <c r="AH10" s="217"/>
      <c r="AI10" s="220"/>
      <c r="AJ10" s="218">
        <f>IF(C10=0,0,IF(B10-R10-X10-AD10&lt;AD10,AF10,'AT2 Lainat,sotum., alv-osto'!AD10))</f>
        <v>0</v>
      </c>
      <c r="AK10" s="218">
        <f t="shared" si="8"/>
        <v>0</v>
      </c>
      <c r="AL10" s="218">
        <f t="shared" si="9"/>
        <v>0</v>
      </c>
      <c r="AM10" s="219"/>
    </row>
    <row r="11" spans="1:39" x14ac:dyDescent="0.2">
      <c r="A11" s="1">
        <f>'4. T7 LAINAT '!B15</f>
        <v>0</v>
      </c>
      <c r="B11" s="215">
        <f>'4. T7 LAINAT '!C15</f>
        <v>0</v>
      </c>
      <c r="C11" s="87">
        <f>'4. T7 LAINAT '!D15</f>
        <v>0</v>
      </c>
      <c r="D11" s="216">
        <f>'4. T7 LAINAT '!E15</f>
        <v>0</v>
      </c>
      <c r="E11" s="419"/>
      <c r="F11" s="420"/>
      <c r="G11" s="421"/>
      <c r="H11" s="421"/>
      <c r="I11" s="422"/>
      <c r="J11" s="217"/>
      <c r="K11" s="220"/>
      <c r="L11" s="218">
        <f>'4. T7 LAINAT '!F15</f>
        <v>0</v>
      </c>
      <c r="M11" s="218">
        <f t="shared" si="0"/>
        <v>0</v>
      </c>
      <c r="N11" s="218">
        <f t="shared" si="1"/>
        <v>0</v>
      </c>
      <c r="O11" s="219">
        <f>'4. T7 LAINAT '!H15</f>
        <v>0</v>
      </c>
      <c r="P11" s="217"/>
      <c r="Q11" s="220"/>
      <c r="R11" s="218">
        <f>'4. T7 LAINAT '!I15</f>
        <v>0</v>
      </c>
      <c r="S11" s="218">
        <f t="shared" si="2"/>
        <v>0</v>
      </c>
      <c r="T11" s="218">
        <f t="shared" si="3"/>
        <v>0</v>
      </c>
      <c r="U11" s="219">
        <f>'4. T7 LAINAT '!K15</f>
        <v>0</v>
      </c>
      <c r="V11" s="217"/>
      <c r="W11" s="220"/>
      <c r="X11" s="218">
        <f>'4. T7 LAINAT '!L15</f>
        <v>0</v>
      </c>
      <c r="Y11" s="218">
        <f t="shared" si="4"/>
        <v>0</v>
      </c>
      <c r="Z11" s="218">
        <f t="shared" si="5"/>
        <v>0</v>
      </c>
      <c r="AA11" s="219">
        <f>'4. T7 LAINAT '!N15</f>
        <v>0</v>
      </c>
      <c r="AB11" s="217"/>
      <c r="AC11" s="220"/>
      <c r="AD11" s="218">
        <f>'4. T7 LAINAT '!O15</f>
        <v>0</v>
      </c>
      <c r="AE11" s="218">
        <f t="shared" si="6"/>
        <v>0</v>
      </c>
      <c r="AF11" s="218">
        <f t="shared" si="7"/>
        <v>0</v>
      </c>
      <c r="AG11" s="219">
        <f>'4. T7 LAINAT '!Q15</f>
        <v>0</v>
      </c>
      <c r="AH11" s="217"/>
      <c r="AI11" s="220"/>
      <c r="AJ11" s="218">
        <f>IF(C11=0,0,IF(B11-R11-X11-AD11&lt;AD11,AF11,'AT2 Lainat,sotum., alv-osto'!AD11))</f>
        <v>0</v>
      </c>
      <c r="AK11" s="218">
        <f t="shared" si="8"/>
        <v>0</v>
      </c>
      <c r="AL11" s="218">
        <f t="shared" si="9"/>
        <v>0</v>
      </c>
      <c r="AM11" s="219"/>
    </row>
    <row r="12" spans="1:39" x14ac:dyDescent="0.2">
      <c r="A12" s="1">
        <f>'4. T7 LAINAT '!B16</f>
        <v>0</v>
      </c>
      <c r="B12" s="215">
        <f>'4. T7 LAINAT '!C16</f>
        <v>0</v>
      </c>
      <c r="C12" s="87">
        <f>'4. T7 LAINAT '!D16</f>
        <v>0</v>
      </c>
      <c r="D12" s="216">
        <f>'4. T7 LAINAT '!E16</f>
        <v>0</v>
      </c>
      <c r="E12" s="419"/>
      <c r="F12" s="420"/>
      <c r="G12" s="421"/>
      <c r="H12" s="421"/>
      <c r="I12" s="422"/>
      <c r="J12" s="217"/>
      <c r="K12" s="220"/>
      <c r="L12" s="218">
        <f>'4. T7 LAINAT '!F16</f>
        <v>0</v>
      </c>
      <c r="M12" s="218">
        <f t="shared" si="0"/>
        <v>0</v>
      </c>
      <c r="N12" s="218">
        <f t="shared" si="1"/>
        <v>0</v>
      </c>
      <c r="O12" s="219">
        <f>'4. T7 LAINAT '!H16</f>
        <v>0</v>
      </c>
      <c r="P12" s="217"/>
      <c r="Q12" s="220"/>
      <c r="R12" s="218">
        <f>'4. T7 LAINAT '!I16</f>
        <v>0</v>
      </c>
      <c r="S12" s="218">
        <f t="shared" si="2"/>
        <v>0</v>
      </c>
      <c r="T12" s="218">
        <f t="shared" si="3"/>
        <v>0</v>
      </c>
      <c r="U12" s="219">
        <f>'4. T7 LAINAT '!K16</f>
        <v>0</v>
      </c>
      <c r="V12" s="217"/>
      <c r="W12" s="220"/>
      <c r="X12" s="218">
        <f>'4. T7 LAINAT '!L16</f>
        <v>0</v>
      </c>
      <c r="Y12" s="218">
        <f t="shared" si="4"/>
        <v>0</v>
      </c>
      <c r="Z12" s="218">
        <f t="shared" si="5"/>
        <v>0</v>
      </c>
      <c r="AA12" s="219">
        <f>'4. T7 LAINAT '!N16</f>
        <v>0</v>
      </c>
      <c r="AB12" s="217"/>
      <c r="AC12" s="220"/>
      <c r="AD12" s="218">
        <f>'4. T7 LAINAT '!O16</f>
        <v>0</v>
      </c>
      <c r="AE12" s="218">
        <f t="shared" si="6"/>
        <v>0</v>
      </c>
      <c r="AF12" s="218">
        <f t="shared" si="7"/>
        <v>0</v>
      </c>
      <c r="AG12" s="219">
        <f>'4. T7 LAINAT '!Q16</f>
        <v>0</v>
      </c>
      <c r="AH12" s="217"/>
      <c r="AI12" s="220"/>
      <c r="AJ12" s="218">
        <f>IF(C12=0,0,IF(B12-R12-X12-AD12&lt;AD12,AF12,'AT2 Lainat,sotum., alv-osto'!AD12))</f>
        <v>0</v>
      </c>
      <c r="AK12" s="218">
        <f t="shared" si="8"/>
        <v>0</v>
      </c>
      <c r="AL12" s="218">
        <f t="shared" si="9"/>
        <v>0</v>
      </c>
      <c r="AM12" s="219"/>
    </row>
    <row r="13" spans="1:39" x14ac:dyDescent="0.2">
      <c r="A13" s="1" t="str">
        <f>'4. T7 LAINAT '!B17</f>
        <v xml:space="preserve"> Luotollinen tili</v>
      </c>
      <c r="B13" s="215">
        <f>'4. T7 LAINAT '!C17</f>
        <v>0</v>
      </c>
      <c r="C13" s="87">
        <f>'4. T7 LAINAT '!D17</f>
        <v>0</v>
      </c>
      <c r="D13" s="216">
        <f>'4. T7 LAINAT '!E17</f>
        <v>0</v>
      </c>
      <c r="E13" s="419"/>
      <c r="F13" s="420"/>
      <c r="G13" s="421"/>
      <c r="H13" s="421"/>
      <c r="I13" s="422"/>
      <c r="J13" s="217"/>
      <c r="K13" s="220"/>
      <c r="L13" s="218">
        <f>'4. T7 LAINAT '!F17</f>
        <v>0</v>
      </c>
      <c r="M13" s="218">
        <f t="shared" si="0"/>
        <v>0</v>
      </c>
      <c r="N13" s="218">
        <f t="shared" si="1"/>
        <v>0</v>
      </c>
      <c r="O13" s="219">
        <f>'4. T7 LAINAT '!H17</f>
        <v>0</v>
      </c>
      <c r="P13" s="217"/>
      <c r="Q13" s="220"/>
      <c r="R13" s="218">
        <f>'4. T7 LAINAT '!I17</f>
        <v>0</v>
      </c>
      <c r="S13" s="218">
        <f t="shared" si="2"/>
        <v>0</v>
      </c>
      <c r="T13" s="218">
        <f t="shared" si="3"/>
        <v>0</v>
      </c>
      <c r="U13" s="219">
        <f>'4. T7 LAINAT '!K17</f>
        <v>0</v>
      </c>
      <c r="V13" s="217"/>
      <c r="W13" s="220"/>
      <c r="X13" s="218">
        <f>'4. T7 LAINAT '!L17</f>
        <v>0</v>
      </c>
      <c r="Y13" s="218">
        <f t="shared" si="4"/>
        <v>0</v>
      </c>
      <c r="Z13" s="218">
        <f t="shared" si="5"/>
        <v>0</v>
      </c>
      <c r="AA13" s="219">
        <f>'4. T7 LAINAT '!N17</f>
        <v>0</v>
      </c>
      <c r="AB13" s="217"/>
      <c r="AC13" s="220"/>
      <c r="AD13" s="218">
        <f>'4. T7 LAINAT '!O17</f>
        <v>0</v>
      </c>
      <c r="AE13" s="218">
        <f t="shared" si="6"/>
        <v>0</v>
      </c>
      <c r="AF13" s="218">
        <f t="shared" si="7"/>
        <v>0</v>
      </c>
      <c r="AG13" s="219">
        <f>'4. T7 LAINAT '!Q17</f>
        <v>0</v>
      </c>
      <c r="AH13" s="217"/>
      <c r="AI13" s="220"/>
      <c r="AJ13" s="218">
        <f>IF(C13=0,0,IF(B13-R13-X13-AD13&lt;AD13,AF13,'AT2 Lainat,sotum., alv-osto'!AD13))</f>
        <v>0</v>
      </c>
      <c r="AK13" s="218">
        <f t="shared" si="8"/>
        <v>0</v>
      </c>
      <c r="AL13" s="218">
        <f t="shared" si="9"/>
        <v>0</v>
      </c>
      <c r="AM13" s="219"/>
    </row>
    <row r="14" spans="1:39" s="2" customFormat="1" x14ac:dyDescent="0.2">
      <c r="A14" s="2" t="s">
        <v>304</v>
      </c>
      <c r="B14" s="298">
        <f>SUM(B7:B13)</f>
        <v>0</v>
      </c>
      <c r="C14" s="560"/>
      <c r="D14" s="299"/>
      <c r="E14" s="217"/>
      <c r="F14" s="306">
        <f>SUM(F7:F13)</f>
        <v>0</v>
      </c>
      <c r="G14" s="307"/>
      <c r="H14" s="306">
        <f>SUM(H7:H13)</f>
        <v>0</v>
      </c>
      <c r="I14" s="219"/>
      <c r="J14" s="217"/>
      <c r="K14" s="220"/>
      <c r="L14" s="298">
        <f>SUM(L7:L13)</f>
        <v>0</v>
      </c>
      <c r="M14" s="218">
        <f t="shared" si="0"/>
        <v>0</v>
      </c>
      <c r="N14" s="298">
        <f>SUM(N7:N13)</f>
        <v>0</v>
      </c>
      <c r="O14" s="298">
        <f>SUM(O7:O13)</f>
        <v>0</v>
      </c>
      <c r="P14" s="298">
        <f>SUM(P7:P13)</f>
        <v>0</v>
      </c>
      <c r="Q14" s="220"/>
      <c r="R14" s="298">
        <f>SUM(R7:R13)</f>
        <v>0</v>
      </c>
      <c r="S14" s="218">
        <f t="shared" si="2"/>
        <v>0</v>
      </c>
      <c r="T14" s="298">
        <f>SUM(T7:T13)</f>
        <v>0</v>
      </c>
      <c r="U14" s="298">
        <f>SUM(U7:U13)</f>
        <v>0</v>
      </c>
      <c r="V14" s="298">
        <f>SUM(V7:V13)</f>
        <v>0</v>
      </c>
      <c r="W14" s="220"/>
      <c r="X14" s="298">
        <f t="shared" ref="X14:AM14" si="10">SUM(X7:X13)</f>
        <v>0</v>
      </c>
      <c r="Y14" s="218">
        <f t="shared" si="4"/>
        <v>0</v>
      </c>
      <c r="Z14" s="298">
        <f t="shared" si="10"/>
        <v>0</v>
      </c>
      <c r="AA14" s="298">
        <f t="shared" si="10"/>
        <v>0</v>
      </c>
      <c r="AB14" s="298">
        <f t="shared" si="10"/>
        <v>0</v>
      </c>
      <c r="AC14" s="298">
        <f t="shared" si="10"/>
        <v>0</v>
      </c>
      <c r="AD14" s="298">
        <f t="shared" si="10"/>
        <v>0</v>
      </c>
      <c r="AE14" s="218">
        <f t="shared" si="6"/>
        <v>0</v>
      </c>
      <c r="AF14" s="298">
        <f t="shared" si="10"/>
        <v>0</v>
      </c>
      <c r="AG14" s="298">
        <f t="shared" si="10"/>
        <v>0</v>
      </c>
      <c r="AH14" s="298">
        <f t="shared" si="10"/>
        <v>0</v>
      </c>
      <c r="AI14" s="298">
        <f t="shared" si="10"/>
        <v>0</v>
      </c>
      <c r="AJ14" s="298">
        <f t="shared" si="10"/>
        <v>0</v>
      </c>
      <c r="AK14" s="218">
        <f t="shared" si="8"/>
        <v>0</v>
      </c>
      <c r="AL14" s="298">
        <f t="shared" si="10"/>
        <v>0</v>
      </c>
      <c r="AM14" s="298">
        <f t="shared" si="10"/>
        <v>0</v>
      </c>
    </row>
    <row r="15" spans="1:39" x14ac:dyDescent="0.2">
      <c r="A15" s="1" t="s">
        <v>127</v>
      </c>
      <c r="B15" s="44"/>
      <c r="C15" s="87"/>
      <c r="D15" s="44"/>
      <c r="E15" s="99"/>
      <c r="F15" s="95"/>
      <c r="G15" s="95"/>
      <c r="H15" s="95"/>
      <c r="I15" s="100"/>
      <c r="J15" s="99"/>
      <c r="K15" s="98"/>
      <c r="L15" s="95"/>
      <c r="M15" s="95"/>
      <c r="N15" s="95"/>
      <c r="O15" s="100"/>
      <c r="P15" s="99"/>
      <c r="Q15" s="98"/>
      <c r="R15" s="95"/>
      <c r="S15" s="95"/>
      <c r="T15" s="95"/>
      <c r="U15" s="100"/>
      <c r="V15" s="99"/>
      <c r="W15" s="98"/>
      <c r="X15" s="95"/>
      <c r="Y15" s="95"/>
      <c r="Z15" s="95"/>
      <c r="AA15" s="100"/>
      <c r="AB15" s="99"/>
      <c r="AC15" s="98"/>
      <c r="AD15" s="218" t="s">
        <v>0</v>
      </c>
      <c r="AE15" s="95"/>
      <c r="AF15" s="95"/>
      <c r="AG15" s="100"/>
      <c r="AH15" s="99"/>
      <c r="AI15" s="98"/>
      <c r="AJ15" s="218" t="s">
        <v>0</v>
      </c>
      <c r="AK15" s="95"/>
      <c r="AL15" s="95"/>
      <c r="AM15" s="100"/>
    </row>
    <row r="16" spans="1:39" x14ac:dyDescent="0.2">
      <c r="A16" s="89" t="str">
        <f>'4. T7 LAINAT '!B24</f>
        <v xml:space="preserve"> Rahoittaja/rahoitettava kohde</v>
      </c>
      <c r="B16" s="96">
        <f>'4. T7 LAINAT '!C24</f>
        <v>0</v>
      </c>
      <c r="C16" s="561">
        <f>'4. T7 LAINAT '!D24</f>
        <v>0</v>
      </c>
      <c r="D16" s="97">
        <f>'4. T7 LAINAT '!E24</f>
        <v>0</v>
      </c>
      <c r="E16" s="734"/>
      <c r="F16" s="735"/>
      <c r="G16" s="735"/>
      <c r="H16" s="735"/>
      <c r="I16" s="736"/>
      <c r="J16" s="226">
        <f>'4. T7 LAINAT '!F24</f>
        <v>0</v>
      </c>
      <c r="K16" s="227">
        <f>IF(H16&gt;0,IF(C16-1&gt;0,C16-1,C16),C16)</f>
        <v>0</v>
      </c>
      <c r="L16" s="206">
        <f>'4. T7 LAINAT '!G24</f>
        <v>0</v>
      </c>
      <c r="M16" s="206">
        <f>E16-F16+J16-L16/4</f>
        <v>0</v>
      </c>
      <c r="N16" s="206">
        <f>J16-L16</f>
        <v>0</v>
      </c>
      <c r="O16" s="179">
        <f>IF($D16*M16&lt;0,0,M16*$D16)</f>
        <v>0</v>
      </c>
      <c r="P16" s="180">
        <f>'4. T7 LAINAT '!I24</f>
        <v>0</v>
      </c>
      <c r="Q16" s="227">
        <f t="shared" ref="Q16:Q21" si="11">IF(E16=0,IF(J16=0,K16,$C16-1),$C16-2)</f>
        <v>0</v>
      </c>
      <c r="R16" s="206">
        <f>'4. T7 LAINAT '!J24</f>
        <v>0</v>
      </c>
      <c r="S16" s="206">
        <f t="shared" ref="S16:S21" si="12">N16+P16-R16/4</f>
        <v>0</v>
      </c>
      <c r="T16" s="206">
        <f t="shared" ref="T16:T21" si="13">N16+P16-R16</f>
        <v>0</v>
      </c>
      <c r="U16" s="179">
        <f t="shared" ref="U16:U21" si="14">IF($D16*S16&lt;0,0,S16*$D16)</f>
        <v>0</v>
      </c>
      <c r="V16" s="180">
        <f>'4. T7 LAINAT '!L24</f>
        <v>0</v>
      </c>
      <c r="W16" s="227">
        <f>IF(Q16-1&gt;0,Q16-1,0)</f>
        <v>0</v>
      </c>
      <c r="X16" s="206">
        <f>'4. T7 LAINAT '!M24</f>
        <v>0</v>
      </c>
      <c r="Y16" s="206">
        <f>(T16+V16-X16/4)</f>
        <v>0</v>
      </c>
      <c r="Z16" s="206">
        <f>T16+V16-X16</f>
        <v>0</v>
      </c>
      <c r="AA16" s="179">
        <f>IF($D16*Y16&lt;0,0,Y16*$D16)</f>
        <v>0</v>
      </c>
      <c r="AB16" s="180">
        <f>'4. T7 LAINAT '!O24</f>
        <v>0</v>
      </c>
      <c r="AC16" s="227">
        <f>IF(W16-1&gt;0,W16-1,0)</f>
        <v>0</v>
      </c>
      <c r="AD16" s="218">
        <f>'4. T7 LAINAT '!P24</f>
        <v>0</v>
      </c>
      <c r="AE16" s="206">
        <f>(Z16+AB16-AD16/4)</f>
        <v>0</v>
      </c>
      <c r="AF16" s="206">
        <f>Z16+AB16-AD16</f>
        <v>0</v>
      </c>
      <c r="AG16" s="179">
        <f>IF($D16*AE16&lt;0,0,AE16*$D16)</f>
        <v>0</v>
      </c>
      <c r="AH16" s="180">
        <v>0</v>
      </c>
      <c r="AI16" s="227">
        <f>IF(AC16-1&gt;0,AC16-1,0)</f>
        <v>0</v>
      </c>
      <c r="AJ16" s="218">
        <f>IF(C16=0,0,IF(B16-R16-X16-AD16-L16&lt;=0,0,IF(AF16&lt;AD16,AF16,'AT2 Lainat,sotum., alv-osto'!AD16)))</f>
        <v>0</v>
      </c>
      <c r="AK16" s="206">
        <f>(AF16+AH16-AJ16/4)</f>
        <v>0</v>
      </c>
      <c r="AL16" s="206">
        <f>AF16+AH16-AJ16</f>
        <v>0</v>
      </c>
      <c r="AM16" s="179">
        <f>IF($D16*AK16&lt;0,0,AK16*$D16)</f>
        <v>0</v>
      </c>
    </row>
    <row r="17" spans="1:39" x14ac:dyDescent="0.2">
      <c r="A17" s="89">
        <f>'4. T7 LAINAT '!B25</f>
        <v>0</v>
      </c>
      <c r="B17" s="96">
        <f>'4. T7 LAINAT '!C25</f>
        <v>0</v>
      </c>
      <c r="C17" s="561">
        <f>'4. T7 LAINAT '!D25</f>
        <v>0</v>
      </c>
      <c r="D17" s="97">
        <f>'4. T7 LAINAT '!E25</f>
        <v>0</v>
      </c>
      <c r="E17" s="734"/>
      <c r="F17" s="735"/>
      <c r="G17" s="735"/>
      <c r="H17" s="735"/>
      <c r="I17" s="736"/>
      <c r="J17" s="226">
        <f>'4. T7 LAINAT '!F25</f>
        <v>0</v>
      </c>
      <c r="K17" s="227">
        <f>IF(H17&gt;0,IF(C17-1&gt;0,C17-1,C17),C17)</f>
        <v>0</v>
      </c>
      <c r="L17" s="206">
        <f>'4. T7 LAINAT '!G25</f>
        <v>0</v>
      </c>
      <c r="M17" s="206">
        <f>E17-F17+J17-L17/4</f>
        <v>0</v>
      </c>
      <c r="N17" s="206">
        <f>J17-L17</f>
        <v>0</v>
      </c>
      <c r="O17" s="179">
        <f>IF($D17*M17&lt;0,0,M17*$D17)</f>
        <v>0</v>
      </c>
      <c r="P17" s="180">
        <f>'4. T7 LAINAT '!I25</f>
        <v>0</v>
      </c>
      <c r="Q17" s="227">
        <f t="shared" si="11"/>
        <v>0</v>
      </c>
      <c r="R17" s="206">
        <f>'4. T7 LAINAT '!J25</f>
        <v>0</v>
      </c>
      <c r="S17" s="206">
        <f t="shared" si="12"/>
        <v>0</v>
      </c>
      <c r="T17" s="206">
        <f t="shared" si="13"/>
        <v>0</v>
      </c>
      <c r="U17" s="179">
        <f t="shared" si="14"/>
        <v>0</v>
      </c>
      <c r="V17" s="180">
        <f>'4. T7 LAINAT '!L25</f>
        <v>0</v>
      </c>
      <c r="W17" s="227">
        <f>IF(Q17-1&gt;0,Q17-1,0)</f>
        <v>0</v>
      </c>
      <c r="X17" s="206">
        <f>'4. T7 LAINAT '!M25</f>
        <v>0</v>
      </c>
      <c r="Y17" s="206">
        <f t="shared" ref="Y17:Y27" si="15">(T17+V17-X17/4)</f>
        <v>0</v>
      </c>
      <c r="Z17" s="206">
        <f>T17+V17-X17</f>
        <v>0</v>
      </c>
      <c r="AA17" s="179">
        <f>IF($D17*Y17&lt;0,0,Y17*$D17)</f>
        <v>0</v>
      </c>
      <c r="AB17" s="180">
        <f>'4. T7 LAINAT '!O25</f>
        <v>0</v>
      </c>
      <c r="AC17" s="227">
        <f>IF(W17-1&gt;0,W17-1,0)</f>
        <v>0</v>
      </c>
      <c r="AD17" s="218">
        <f>'4. T7 LAINAT '!P25</f>
        <v>0</v>
      </c>
      <c r="AE17" s="206">
        <f t="shared" ref="AE17:AE27" si="16">(Z17+AB17-AD17/4)</f>
        <v>0</v>
      </c>
      <c r="AF17" s="206">
        <f>Z17+AB17-AD17</f>
        <v>0</v>
      </c>
      <c r="AG17" s="179">
        <f>IF($D17*AE17&lt;0,0,AE17*$D17)</f>
        <v>0</v>
      </c>
      <c r="AH17" s="180">
        <v>0</v>
      </c>
      <c r="AI17" s="227">
        <f>IF(AC17-1&gt;0,AC17-1,0)</f>
        <v>0</v>
      </c>
      <c r="AJ17" s="218">
        <f>IF(C17=0,0,IF(B17-R17-X17-AD17-L17&lt;=0,0,IF(AF17&lt;AD17,AF17,'AT2 Lainat,sotum., alv-osto'!AD17)))</f>
        <v>0</v>
      </c>
      <c r="AK17" s="206">
        <f t="shared" ref="AK17:AK27" si="17">(AF17+AH17-AJ17/4)</f>
        <v>0</v>
      </c>
      <c r="AL17" s="206">
        <f>AF17+AH17-AJ17</f>
        <v>0</v>
      </c>
      <c r="AM17" s="179">
        <f>IF($D17*AK17&lt;0,0,AK17*$D17)</f>
        <v>0</v>
      </c>
    </row>
    <row r="18" spans="1:39" x14ac:dyDescent="0.2">
      <c r="A18" s="89">
        <f>'4. T7 LAINAT '!B26</f>
        <v>0</v>
      </c>
      <c r="B18" s="96">
        <f>'4. T7 LAINAT '!C26</f>
        <v>0</v>
      </c>
      <c r="C18" s="561">
        <f>'4. T7 LAINAT '!D26</f>
        <v>0</v>
      </c>
      <c r="D18" s="97">
        <f>'4. T7 LAINAT '!E26</f>
        <v>0</v>
      </c>
      <c r="E18" s="734"/>
      <c r="F18" s="735"/>
      <c r="G18" s="735"/>
      <c r="H18" s="735"/>
      <c r="I18" s="736"/>
      <c r="J18" s="226">
        <f>'4. T7 LAINAT '!F26</f>
        <v>0</v>
      </c>
      <c r="K18" s="227">
        <f>IF(H18&gt;0,IF(C18-1&gt;0,C18-1,C18),C18)</f>
        <v>0</v>
      </c>
      <c r="L18" s="206">
        <f>'4. T7 LAINAT '!G26</f>
        <v>0</v>
      </c>
      <c r="M18" s="206">
        <f>E18-F18+J18-L18/4</f>
        <v>0</v>
      </c>
      <c r="N18" s="206">
        <f>J18-L18</f>
        <v>0</v>
      </c>
      <c r="O18" s="179">
        <f>IF($D18*M18&lt;0,0,M18*$D18)</f>
        <v>0</v>
      </c>
      <c r="P18" s="180">
        <f>'4. T7 LAINAT '!I26</f>
        <v>0</v>
      </c>
      <c r="Q18" s="227">
        <f t="shared" si="11"/>
        <v>0</v>
      </c>
      <c r="R18" s="206">
        <f>'4. T7 LAINAT '!J26</f>
        <v>0</v>
      </c>
      <c r="S18" s="206">
        <f t="shared" si="12"/>
        <v>0</v>
      </c>
      <c r="T18" s="206">
        <f t="shared" si="13"/>
        <v>0</v>
      </c>
      <c r="U18" s="179">
        <f t="shared" si="14"/>
        <v>0</v>
      </c>
      <c r="V18" s="180">
        <f>'4. T7 LAINAT '!L26</f>
        <v>0</v>
      </c>
      <c r="W18" s="227">
        <f t="shared" ref="W18:W24" si="18">IF(Q18-1&gt;0,Q18-1,0)</f>
        <v>0</v>
      </c>
      <c r="X18" s="206">
        <f>'4. T7 LAINAT '!M26</f>
        <v>0</v>
      </c>
      <c r="Y18" s="206">
        <f t="shared" si="15"/>
        <v>0</v>
      </c>
      <c r="Z18" s="206">
        <f t="shared" ref="Z18:Z24" si="19">T18+V18-X18</f>
        <v>0</v>
      </c>
      <c r="AA18" s="179">
        <f t="shared" ref="AA18:AA24" si="20">IF($D18*Y18&lt;0,0,Y18*$D18)</f>
        <v>0</v>
      </c>
      <c r="AB18" s="180">
        <f>'4. T7 LAINAT '!O26</f>
        <v>0</v>
      </c>
      <c r="AC18" s="227">
        <f t="shared" ref="AC18:AC27" si="21">IF(W18-1&gt;0,W18-1,0)</f>
        <v>0</v>
      </c>
      <c r="AD18" s="218">
        <f>'4. T7 LAINAT '!P26</f>
        <v>0</v>
      </c>
      <c r="AE18" s="206">
        <f t="shared" si="16"/>
        <v>0</v>
      </c>
      <c r="AF18" s="206">
        <f t="shared" ref="AF18:AF27" si="22">Z18+AB18-AD18</f>
        <v>0</v>
      </c>
      <c r="AG18" s="179">
        <f t="shared" ref="AG18:AG27" si="23">IF($D18*AE18&lt;0,0,AE18*$D18)</f>
        <v>0</v>
      </c>
      <c r="AH18" s="180">
        <v>0</v>
      </c>
      <c r="AI18" s="227">
        <f t="shared" ref="AI18:AI27" si="24">IF(AC18-1&gt;0,AC18-1,0)</f>
        <v>0</v>
      </c>
      <c r="AJ18" s="218">
        <f>IF(C18=0,0,IF(B18-R18-X18-AD18-L18&lt;=0,0,IF(AF18&lt;AD18,AF18,'AT2 Lainat,sotum., alv-osto'!AD18)))</f>
        <v>0</v>
      </c>
      <c r="AK18" s="206">
        <f t="shared" si="17"/>
        <v>0</v>
      </c>
      <c r="AL18" s="206">
        <f t="shared" ref="AL18:AL27" si="25">AF18+AH18-AJ18</f>
        <v>0</v>
      </c>
      <c r="AM18" s="179">
        <f t="shared" ref="AM18:AM27" si="26">IF($D18*AK18&lt;0,0,AK18*$D18)</f>
        <v>0</v>
      </c>
    </row>
    <row r="19" spans="1:39" x14ac:dyDescent="0.2">
      <c r="A19" s="89" t="str">
        <f>'4. T7 LAINAT '!B28</f>
        <v xml:space="preserve"> Rahoittaja/rahoitettava kohde</v>
      </c>
      <c r="B19" s="96">
        <f>'4. T7 LAINAT '!C28</f>
        <v>0</v>
      </c>
      <c r="C19" s="561">
        <f>'4. T7 LAINAT '!D28</f>
        <v>0</v>
      </c>
      <c r="D19" s="97">
        <f>'4. T7 LAINAT '!E28</f>
        <v>0</v>
      </c>
      <c r="E19" s="734"/>
      <c r="F19" s="735"/>
      <c r="G19" s="735"/>
      <c r="H19" s="735"/>
      <c r="I19" s="736"/>
      <c r="J19" s="226"/>
      <c r="K19" s="227"/>
      <c r="L19" s="206"/>
      <c r="M19" s="206"/>
      <c r="N19" s="206"/>
      <c r="O19" s="179"/>
      <c r="P19" s="180">
        <f>'4. T7 LAINAT '!I28</f>
        <v>0</v>
      </c>
      <c r="Q19" s="227">
        <f t="shared" si="11"/>
        <v>0</v>
      </c>
      <c r="R19" s="206">
        <f>'4. T7 LAINAT '!J28</f>
        <v>0</v>
      </c>
      <c r="S19" s="206">
        <f t="shared" si="12"/>
        <v>0</v>
      </c>
      <c r="T19" s="206">
        <f t="shared" si="13"/>
        <v>0</v>
      </c>
      <c r="U19" s="179">
        <f t="shared" si="14"/>
        <v>0</v>
      </c>
      <c r="V19" s="180">
        <f>'4. T7 LAINAT '!L28</f>
        <v>0</v>
      </c>
      <c r="W19" s="227">
        <f t="shared" si="18"/>
        <v>0</v>
      </c>
      <c r="X19" s="206">
        <f>'4. T7 LAINAT '!M28</f>
        <v>0</v>
      </c>
      <c r="Y19" s="206">
        <f t="shared" si="15"/>
        <v>0</v>
      </c>
      <c r="Z19" s="206">
        <f t="shared" si="19"/>
        <v>0</v>
      </c>
      <c r="AA19" s="179">
        <f t="shared" si="20"/>
        <v>0</v>
      </c>
      <c r="AB19" s="180">
        <f>'4. T7 LAINAT '!O28</f>
        <v>0</v>
      </c>
      <c r="AC19" s="227">
        <f t="shared" si="21"/>
        <v>0</v>
      </c>
      <c r="AD19" s="218">
        <f>'4. T7 LAINAT '!P28</f>
        <v>0</v>
      </c>
      <c r="AE19" s="206">
        <f t="shared" si="16"/>
        <v>0</v>
      </c>
      <c r="AF19" s="206">
        <f t="shared" si="22"/>
        <v>0</v>
      </c>
      <c r="AG19" s="179">
        <f t="shared" si="23"/>
        <v>0</v>
      </c>
      <c r="AH19" s="180">
        <v>0</v>
      </c>
      <c r="AI19" s="227">
        <f t="shared" si="24"/>
        <v>0</v>
      </c>
      <c r="AJ19" s="218">
        <f>IF(C19=0,0,IF(B19-R19-X19-AD19-L19&lt;=0,0,IF(AF19&lt;AD19,AF19,'AT2 Lainat,sotum., alv-osto'!AD19)))</f>
        <v>0</v>
      </c>
      <c r="AK19" s="206">
        <f t="shared" si="17"/>
        <v>0</v>
      </c>
      <c r="AL19" s="206">
        <f t="shared" si="25"/>
        <v>0</v>
      </c>
      <c r="AM19" s="179">
        <f t="shared" si="26"/>
        <v>0</v>
      </c>
    </row>
    <row r="20" spans="1:39" x14ac:dyDescent="0.2">
      <c r="A20" s="89">
        <f>'4. T7 LAINAT '!B29</f>
        <v>0</v>
      </c>
      <c r="B20" s="96">
        <f>'4. T7 LAINAT '!C29</f>
        <v>0</v>
      </c>
      <c r="C20" s="561">
        <f>'4. T7 LAINAT '!D29</f>
        <v>0</v>
      </c>
      <c r="D20" s="97">
        <f>'4. T7 LAINAT '!E29</f>
        <v>0</v>
      </c>
      <c r="E20" s="734"/>
      <c r="F20" s="735"/>
      <c r="G20" s="735"/>
      <c r="H20" s="735"/>
      <c r="I20" s="736"/>
      <c r="J20" s="226"/>
      <c r="K20" s="227"/>
      <c r="L20" s="206"/>
      <c r="M20" s="206"/>
      <c r="N20" s="206"/>
      <c r="O20" s="179"/>
      <c r="P20" s="180">
        <f>'4. T7 LAINAT '!I29</f>
        <v>0</v>
      </c>
      <c r="Q20" s="227">
        <f t="shared" si="11"/>
        <v>0</v>
      </c>
      <c r="R20" s="206">
        <f>'4. T7 LAINAT '!J29</f>
        <v>0</v>
      </c>
      <c r="S20" s="206">
        <f t="shared" si="12"/>
        <v>0</v>
      </c>
      <c r="T20" s="206">
        <f t="shared" si="13"/>
        <v>0</v>
      </c>
      <c r="U20" s="179">
        <f t="shared" si="14"/>
        <v>0</v>
      </c>
      <c r="V20" s="180">
        <f>'4. T7 LAINAT '!L29</f>
        <v>0</v>
      </c>
      <c r="W20" s="227">
        <f>IF(Q20-1&gt;0,Q20-1,0)</f>
        <v>0</v>
      </c>
      <c r="X20" s="206">
        <f>'4. T7 LAINAT '!M29</f>
        <v>0</v>
      </c>
      <c r="Y20" s="206">
        <f t="shared" si="15"/>
        <v>0</v>
      </c>
      <c r="Z20" s="206">
        <f>T20+V20-X20</f>
        <v>0</v>
      </c>
      <c r="AA20" s="179">
        <f>IF($D20*Y20&lt;0,0,Y20*$D20)</f>
        <v>0</v>
      </c>
      <c r="AB20" s="180">
        <f>'4. T7 LAINAT '!O29</f>
        <v>0</v>
      </c>
      <c r="AC20" s="227">
        <f>IF(W20-1&gt;0,W20-1,0)</f>
        <v>0</v>
      </c>
      <c r="AD20" s="218">
        <f>'4. T7 LAINAT '!P29</f>
        <v>0</v>
      </c>
      <c r="AE20" s="206">
        <f t="shared" si="16"/>
        <v>0</v>
      </c>
      <c r="AF20" s="206">
        <f>Z20+AB20-AD20</f>
        <v>0</v>
      </c>
      <c r="AG20" s="179">
        <f>IF($D20*AE20&lt;0,0,AE20*$D20)</f>
        <v>0</v>
      </c>
      <c r="AH20" s="180">
        <v>0</v>
      </c>
      <c r="AI20" s="227">
        <f>IF(AC20-1&gt;0,AC20-1,0)</f>
        <v>0</v>
      </c>
      <c r="AJ20" s="218">
        <f>IF(C20=0,0,IF(B20-R20-X20-AD20-L20&lt;=0,0,IF(AF20&lt;AD20,AF20,'AT2 Lainat,sotum., alv-osto'!AD20)))</f>
        <v>0</v>
      </c>
      <c r="AK20" s="206">
        <f t="shared" si="17"/>
        <v>0</v>
      </c>
      <c r="AL20" s="206">
        <f>AF20+AH20-AJ20</f>
        <v>0</v>
      </c>
      <c r="AM20" s="179">
        <f>IF($D20*AK20&lt;0,0,AK20*$D20)</f>
        <v>0</v>
      </c>
    </row>
    <row r="21" spans="1:39" x14ac:dyDescent="0.2">
      <c r="A21" s="89">
        <f>'4. T7 LAINAT '!B30</f>
        <v>0</v>
      </c>
      <c r="B21" s="96">
        <f>'4. T7 LAINAT '!C30</f>
        <v>0</v>
      </c>
      <c r="C21" s="561">
        <f>'4. T7 LAINAT '!D30</f>
        <v>0</v>
      </c>
      <c r="D21" s="97">
        <f>'4. T7 LAINAT '!E30</f>
        <v>0</v>
      </c>
      <c r="E21" s="734"/>
      <c r="F21" s="735"/>
      <c r="G21" s="735"/>
      <c r="H21" s="735"/>
      <c r="I21" s="736"/>
      <c r="J21" s="226"/>
      <c r="K21" s="227"/>
      <c r="L21" s="206"/>
      <c r="M21" s="206"/>
      <c r="N21" s="206"/>
      <c r="O21" s="179"/>
      <c r="P21" s="180">
        <f>'4. T7 LAINAT '!I30</f>
        <v>0</v>
      </c>
      <c r="Q21" s="227">
        <f t="shared" si="11"/>
        <v>0</v>
      </c>
      <c r="R21" s="206">
        <f>'4. T7 LAINAT '!J30</f>
        <v>0</v>
      </c>
      <c r="S21" s="206">
        <f t="shared" si="12"/>
        <v>0</v>
      </c>
      <c r="T21" s="206">
        <f t="shared" si="13"/>
        <v>0</v>
      </c>
      <c r="U21" s="179">
        <f t="shared" si="14"/>
        <v>0</v>
      </c>
      <c r="V21" s="180">
        <f>'4. T7 LAINAT '!L30</f>
        <v>0</v>
      </c>
      <c r="W21" s="227">
        <f t="shared" si="18"/>
        <v>0</v>
      </c>
      <c r="X21" s="206">
        <f>'4. T7 LAINAT '!M30</f>
        <v>0</v>
      </c>
      <c r="Y21" s="206">
        <f t="shared" si="15"/>
        <v>0</v>
      </c>
      <c r="Z21" s="206">
        <f t="shared" si="19"/>
        <v>0</v>
      </c>
      <c r="AA21" s="179">
        <f t="shared" si="20"/>
        <v>0</v>
      </c>
      <c r="AB21" s="180">
        <f>'4. T7 LAINAT '!O30</f>
        <v>0</v>
      </c>
      <c r="AC21" s="227">
        <f t="shared" si="21"/>
        <v>0</v>
      </c>
      <c r="AD21" s="218">
        <f>'4. T7 LAINAT '!P30</f>
        <v>0</v>
      </c>
      <c r="AE21" s="206">
        <f t="shared" si="16"/>
        <v>0</v>
      </c>
      <c r="AF21" s="206">
        <f t="shared" si="22"/>
        <v>0</v>
      </c>
      <c r="AG21" s="179">
        <f t="shared" si="23"/>
        <v>0</v>
      </c>
      <c r="AH21" s="180">
        <v>0</v>
      </c>
      <c r="AI21" s="227">
        <f t="shared" si="24"/>
        <v>0</v>
      </c>
      <c r="AJ21" s="218">
        <f>IF(C21=0,0,IF(B21-R21-X21-AD21-L21&lt;=0,0,IF(AF21&lt;AD21,AF21,'AT2 Lainat,sotum., alv-osto'!AD21)))</f>
        <v>0</v>
      </c>
      <c r="AK21" s="206">
        <f t="shared" si="17"/>
        <v>0</v>
      </c>
      <c r="AL21" s="206">
        <f t="shared" si="25"/>
        <v>0</v>
      </c>
      <c r="AM21" s="179">
        <f t="shared" si="26"/>
        <v>0</v>
      </c>
    </row>
    <row r="22" spans="1:39" x14ac:dyDescent="0.2">
      <c r="A22" s="89" t="str">
        <f>'4. T7 LAINAT '!B32</f>
        <v xml:space="preserve"> Rahoittaja/rahoitettava kohde</v>
      </c>
      <c r="B22" s="96">
        <f>'4. T7 LAINAT '!C32</f>
        <v>0</v>
      </c>
      <c r="C22" s="561">
        <f>'4. T7 LAINAT '!D32</f>
        <v>0</v>
      </c>
      <c r="D22" s="97">
        <f>'4. T7 LAINAT '!E32</f>
        <v>0</v>
      </c>
      <c r="E22" s="734"/>
      <c r="F22" s="735"/>
      <c r="G22" s="735"/>
      <c r="H22" s="735"/>
      <c r="I22" s="736"/>
      <c r="J22" s="226"/>
      <c r="K22" s="227"/>
      <c r="L22" s="206"/>
      <c r="M22" s="206"/>
      <c r="N22" s="206"/>
      <c r="O22" s="179"/>
      <c r="P22" s="180">
        <f>'4. T7 LAINAT '!I32</f>
        <v>0</v>
      </c>
      <c r="Q22" s="227">
        <f>IF(E22=0,IF(J22=0,K22,$C22-1),$C22-2)</f>
        <v>0</v>
      </c>
      <c r="R22" s="206">
        <f>'4. T7 LAINAT '!J32</f>
        <v>0</v>
      </c>
      <c r="S22" s="206">
        <f>N22+P22-R22/2</f>
        <v>0</v>
      </c>
      <c r="T22" s="206">
        <f>N22+P22-R22</f>
        <v>0</v>
      </c>
      <c r="U22" s="179">
        <f>IF($D22*S22&lt;0,0,S22*$D22)</f>
        <v>0</v>
      </c>
      <c r="V22" s="180">
        <f>'4. T7 LAINAT '!L32</f>
        <v>0</v>
      </c>
      <c r="W22" s="227">
        <f t="shared" si="18"/>
        <v>0</v>
      </c>
      <c r="X22" s="206">
        <f>'4. T7 LAINAT '!M32</f>
        <v>0</v>
      </c>
      <c r="Y22" s="206">
        <f t="shared" si="15"/>
        <v>0</v>
      </c>
      <c r="Z22" s="206">
        <f t="shared" si="19"/>
        <v>0</v>
      </c>
      <c r="AA22" s="179">
        <f t="shared" si="20"/>
        <v>0</v>
      </c>
      <c r="AB22" s="180">
        <f>'4. T7 LAINAT '!O32</f>
        <v>0</v>
      </c>
      <c r="AC22" s="227">
        <f t="shared" si="21"/>
        <v>0</v>
      </c>
      <c r="AD22" s="218">
        <f>'4. T7 LAINAT '!P32</f>
        <v>0</v>
      </c>
      <c r="AE22" s="206">
        <f t="shared" si="16"/>
        <v>0</v>
      </c>
      <c r="AF22" s="206">
        <f t="shared" si="22"/>
        <v>0</v>
      </c>
      <c r="AG22" s="179">
        <f t="shared" si="23"/>
        <v>0</v>
      </c>
      <c r="AH22" s="180">
        <v>0</v>
      </c>
      <c r="AI22" s="227">
        <f t="shared" si="24"/>
        <v>0</v>
      </c>
      <c r="AJ22" s="218">
        <f>IF(C22=0,0,IF(B22-R22-X22-AD22-L22&lt;=0,0,IF(AF22&lt;AD22,AF22,'AT2 Lainat,sotum., alv-osto'!AD22)))</f>
        <v>0</v>
      </c>
      <c r="AK22" s="206">
        <f t="shared" si="17"/>
        <v>0</v>
      </c>
      <c r="AL22" s="206">
        <f t="shared" si="25"/>
        <v>0</v>
      </c>
      <c r="AM22" s="179">
        <f t="shared" si="26"/>
        <v>0</v>
      </c>
    </row>
    <row r="23" spans="1:39" x14ac:dyDescent="0.2">
      <c r="A23" s="89">
        <f>'4. T7 LAINAT '!B33</f>
        <v>0</v>
      </c>
      <c r="B23" s="96">
        <f>'4. T7 LAINAT '!C33</f>
        <v>0</v>
      </c>
      <c r="C23" s="561">
        <f>'4. T7 LAINAT '!D33</f>
        <v>0</v>
      </c>
      <c r="D23" s="97">
        <f>'4. T7 LAINAT '!E33</f>
        <v>0</v>
      </c>
      <c r="E23" s="734"/>
      <c r="F23" s="735"/>
      <c r="G23" s="735"/>
      <c r="H23" s="735"/>
      <c r="I23" s="736"/>
      <c r="J23" s="226"/>
      <c r="K23" s="227"/>
      <c r="L23" s="206"/>
      <c r="M23" s="206"/>
      <c r="N23" s="206"/>
      <c r="O23" s="179"/>
      <c r="P23" s="180">
        <f>'4. T7 LAINAT '!I33</f>
        <v>0</v>
      </c>
      <c r="Q23" s="227">
        <f>IF(E23=0,IF(J23=0,K23,$C23-1),$C23-2)</f>
        <v>0</v>
      </c>
      <c r="R23" s="206">
        <f>'4. T7 LAINAT '!J33</f>
        <v>0</v>
      </c>
      <c r="S23" s="206">
        <f>N23+P23-R23/2</f>
        <v>0</v>
      </c>
      <c r="T23" s="206">
        <f>N23+P23-R23</f>
        <v>0</v>
      </c>
      <c r="U23" s="179">
        <f>IF($D23*S23&lt;0,0,S23*$D23)</f>
        <v>0</v>
      </c>
      <c r="V23" s="180">
        <f>'4. T7 LAINAT '!L33</f>
        <v>0</v>
      </c>
      <c r="W23" s="227">
        <f>IF(Q23-1&gt;0,Q23-1,0)</f>
        <v>0</v>
      </c>
      <c r="X23" s="206">
        <f>'4. T7 LAINAT '!M33</f>
        <v>0</v>
      </c>
      <c r="Y23" s="206">
        <f t="shared" si="15"/>
        <v>0</v>
      </c>
      <c r="Z23" s="206">
        <f>T23+V23-X23</f>
        <v>0</v>
      </c>
      <c r="AA23" s="179">
        <f>IF($D23*Y23&lt;0,0,Y23*$D23)</f>
        <v>0</v>
      </c>
      <c r="AB23" s="180">
        <f>'4. T7 LAINAT '!O33</f>
        <v>0</v>
      </c>
      <c r="AC23" s="227">
        <f>IF(W23-1&gt;0,W23-1,0)</f>
        <v>0</v>
      </c>
      <c r="AD23" s="218">
        <f>'4. T7 LAINAT '!P33</f>
        <v>0</v>
      </c>
      <c r="AE23" s="206">
        <f t="shared" si="16"/>
        <v>0</v>
      </c>
      <c r="AF23" s="206">
        <f>Z23+AB23-AD23</f>
        <v>0</v>
      </c>
      <c r="AG23" s="179">
        <f>IF($D23*AE23&lt;0,0,AE23*$D23)</f>
        <v>0</v>
      </c>
      <c r="AH23" s="180">
        <v>0</v>
      </c>
      <c r="AI23" s="227">
        <f>IF(AC23-1&gt;0,AC23-1,0)</f>
        <v>0</v>
      </c>
      <c r="AJ23" s="218">
        <f>IF(C23=0,0,IF(B23-R23-X23-AD23-L23&lt;=0,0,IF(AF23&lt;AD23,AF23,'AT2 Lainat,sotum., alv-osto'!AD23)))</f>
        <v>0</v>
      </c>
      <c r="AK23" s="206">
        <f t="shared" si="17"/>
        <v>0</v>
      </c>
      <c r="AL23" s="206">
        <f>AF23+AH23-AJ23</f>
        <v>0</v>
      </c>
      <c r="AM23" s="179">
        <f>IF($D23*AK23&lt;0,0,AK23*$D23)</f>
        <v>0</v>
      </c>
    </row>
    <row r="24" spans="1:39" x14ac:dyDescent="0.2">
      <c r="A24" s="89">
        <f>'4. T7 LAINAT '!B34</f>
        <v>0</v>
      </c>
      <c r="B24" s="96">
        <f>'4. T7 LAINAT '!C34</f>
        <v>0</v>
      </c>
      <c r="C24" s="561">
        <f>'4. T7 LAINAT '!D34</f>
        <v>0</v>
      </c>
      <c r="D24" s="97">
        <f>'4. T7 LAINAT '!E34</f>
        <v>0</v>
      </c>
      <c r="E24" s="734"/>
      <c r="F24" s="735"/>
      <c r="G24" s="735"/>
      <c r="H24" s="735"/>
      <c r="I24" s="736"/>
      <c r="J24" s="226">
        <f>'4. T7 LAINAT '!F34</f>
        <v>0</v>
      </c>
      <c r="K24" s="227">
        <f>IF(H24&gt;0,IF(C24-1&gt;0,C24-1,C24),C24)</f>
        <v>0</v>
      </c>
      <c r="L24" s="206">
        <f>'4. T7 LAINAT '!G34</f>
        <v>0</v>
      </c>
      <c r="M24" s="206">
        <f>E24-F24+J24-L24/2</f>
        <v>0</v>
      </c>
      <c r="N24" s="206">
        <f>J24-L24</f>
        <v>0</v>
      </c>
      <c r="O24" s="179">
        <f>IF($D24*M24&lt;0,0,M24*$D24)</f>
        <v>0</v>
      </c>
      <c r="P24" s="180">
        <f>'4. T7 LAINAT '!I34</f>
        <v>0</v>
      </c>
      <c r="Q24" s="227">
        <f>IF(E24=0,IF(J24=0,K24,$C24-1),$C24-2)</f>
        <v>0</v>
      </c>
      <c r="R24" s="206">
        <f>'4. T7 LAINAT '!J34</f>
        <v>0</v>
      </c>
      <c r="S24" s="206">
        <f>N24+P24-R24/2</f>
        <v>0</v>
      </c>
      <c r="T24" s="206">
        <f>N24+P24-R24</f>
        <v>0</v>
      </c>
      <c r="U24" s="179">
        <f>IF($D24*S24&lt;0,0,S24*$D24)</f>
        <v>0</v>
      </c>
      <c r="V24" s="180">
        <f>'4. T7 LAINAT '!L34</f>
        <v>0</v>
      </c>
      <c r="W24" s="227">
        <f t="shared" si="18"/>
        <v>0</v>
      </c>
      <c r="X24" s="206">
        <f>'4. T7 LAINAT '!M34</f>
        <v>0</v>
      </c>
      <c r="Y24" s="206">
        <f t="shared" si="15"/>
        <v>0</v>
      </c>
      <c r="Z24" s="206">
        <f t="shared" si="19"/>
        <v>0</v>
      </c>
      <c r="AA24" s="179">
        <f t="shared" si="20"/>
        <v>0</v>
      </c>
      <c r="AB24" s="180">
        <f>'4. T7 LAINAT '!O34</f>
        <v>0</v>
      </c>
      <c r="AC24" s="227">
        <f t="shared" si="21"/>
        <v>0</v>
      </c>
      <c r="AD24" s="218">
        <f>'4. T7 LAINAT '!P34</f>
        <v>0</v>
      </c>
      <c r="AE24" s="206">
        <f t="shared" si="16"/>
        <v>0</v>
      </c>
      <c r="AF24" s="206">
        <f t="shared" si="22"/>
        <v>0</v>
      </c>
      <c r="AG24" s="179">
        <f t="shared" si="23"/>
        <v>0</v>
      </c>
      <c r="AH24" s="180">
        <v>0</v>
      </c>
      <c r="AI24" s="227">
        <f t="shared" si="24"/>
        <v>0</v>
      </c>
      <c r="AJ24" s="218">
        <f>IF(C24=0,0,IF(B24-R24-X24-AD24-L24&lt;=0,0,IF(AF24&lt;AD24,AF24,'AT2 Lainat,sotum., alv-osto'!AD24)))</f>
        <v>0</v>
      </c>
      <c r="AK24" s="206">
        <f t="shared" si="17"/>
        <v>0</v>
      </c>
      <c r="AL24" s="206">
        <f t="shared" si="25"/>
        <v>0</v>
      </c>
      <c r="AM24" s="179">
        <f t="shared" si="26"/>
        <v>0</v>
      </c>
    </row>
    <row r="25" spans="1:39" x14ac:dyDescent="0.2">
      <c r="A25" s="89" t="str">
        <f>'4. T7 LAINAT '!B36</f>
        <v xml:space="preserve"> Rahoittaja/rahoitettava kohde</v>
      </c>
      <c r="B25" s="96">
        <f>'4. T7 LAINAT '!C36</f>
        <v>0</v>
      </c>
      <c r="C25" s="561">
        <f>'4. T7 LAINAT '!D36</f>
        <v>0</v>
      </c>
      <c r="D25" s="97">
        <f>'4. T7 LAINAT '!E36</f>
        <v>0</v>
      </c>
      <c r="E25" s="734"/>
      <c r="F25" s="735"/>
      <c r="G25" s="735"/>
      <c r="H25" s="735"/>
      <c r="I25" s="736"/>
      <c r="J25" s="226">
        <f>'4. T7 LAINAT '!F36</f>
        <v>0</v>
      </c>
      <c r="K25" s="227">
        <f>IF(H25&gt;0,IF(C25-1&gt;0,C25-1,C25),C25)</f>
        <v>0</v>
      </c>
      <c r="L25" s="206">
        <f>'4. T7 LAINAT '!G36</f>
        <v>0</v>
      </c>
      <c r="M25" s="206">
        <f>E25-F25+J25-L25/2</f>
        <v>0</v>
      </c>
      <c r="N25" s="206">
        <f>J25-L25</f>
        <v>0</v>
      </c>
      <c r="O25" s="179">
        <f>IF($D25*M25&lt;0,0,M25*$D25)</f>
        <v>0</v>
      </c>
      <c r="P25" s="180">
        <f>'4. T7 LAINAT '!I36</f>
        <v>0</v>
      </c>
      <c r="Q25" s="227">
        <f>IF(E25=0,IF(J25=0,K25,$C25-1),$C25-2)</f>
        <v>0</v>
      </c>
      <c r="R25" s="206">
        <f>'4. T7 LAINAT '!J36</f>
        <v>0</v>
      </c>
      <c r="S25" s="206">
        <f>N25+P25-R25/2</f>
        <v>0</v>
      </c>
      <c r="T25" s="206">
        <f>N25+P25-R25</f>
        <v>0</v>
      </c>
      <c r="U25" s="179">
        <f>IF($D25*S25&lt;0,0,S25*$D25)</f>
        <v>0</v>
      </c>
      <c r="V25" s="180">
        <f>'4. T7 LAINAT '!L36</f>
        <v>0</v>
      </c>
      <c r="W25" s="227">
        <f>IF(Q25-1&gt;0,Q25-1,0)</f>
        <v>0</v>
      </c>
      <c r="X25" s="206">
        <f>'4. T7 LAINAT '!M36</f>
        <v>0</v>
      </c>
      <c r="Y25" s="206">
        <f t="shared" si="15"/>
        <v>0</v>
      </c>
      <c r="Z25" s="206">
        <f>T25+V25-X25</f>
        <v>0</v>
      </c>
      <c r="AA25" s="179">
        <f>IF($D25*Y25&lt;0,0,Y25*$D25)</f>
        <v>0</v>
      </c>
      <c r="AB25" s="180">
        <f>'4. T7 LAINAT '!O36</f>
        <v>0</v>
      </c>
      <c r="AC25" s="227">
        <f>IF(W25-1&gt;0,W25-1,0)</f>
        <v>0</v>
      </c>
      <c r="AD25" s="218">
        <f>'4. T7 LAINAT '!P36</f>
        <v>0</v>
      </c>
      <c r="AE25" s="206">
        <f t="shared" si="16"/>
        <v>0</v>
      </c>
      <c r="AF25" s="206">
        <f>Z25+AB25-AD25</f>
        <v>0</v>
      </c>
      <c r="AG25" s="179">
        <f>IF($D25*AE25&lt;0,0,AE25*$D25)</f>
        <v>0</v>
      </c>
      <c r="AH25" s="180">
        <v>0</v>
      </c>
      <c r="AI25" s="227">
        <f>IF(AC25-1&gt;0,AC25-1,0)</f>
        <v>0</v>
      </c>
      <c r="AJ25" s="218">
        <f>IF(C25=0,0,IF(B25-R25-X25-AD25-L25&lt;=0,0,IF(AF25&lt;AD25,AF25,'AT2 Lainat,sotum., alv-osto'!AD25)))</f>
        <v>0</v>
      </c>
      <c r="AK25" s="206">
        <f t="shared" si="17"/>
        <v>0</v>
      </c>
      <c r="AL25" s="206">
        <f>AF25+AH25-AJ25</f>
        <v>0</v>
      </c>
      <c r="AM25" s="179">
        <f>IF($D25*AK25&lt;0,0,AK25*$D25)</f>
        <v>0</v>
      </c>
    </row>
    <row r="26" spans="1:39" x14ac:dyDescent="0.2">
      <c r="A26" s="89">
        <f>'4. T7 LAINAT '!B37</f>
        <v>0</v>
      </c>
      <c r="B26" s="96">
        <f>'4. T7 LAINAT '!C37</f>
        <v>0</v>
      </c>
      <c r="C26" s="561">
        <f>'4. T7 LAINAT '!D37</f>
        <v>0</v>
      </c>
      <c r="D26" s="97">
        <f>'4. T7 LAINAT '!E37</f>
        <v>0</v>
      </c>
      <c r="E26" s="734"/>
      <c r="F26" s="735"/>
      <c r="G26" s="735"/>
      <c r="H26" s="735"/>
      <c r="I26" s="736"/>
      <c r="J26" s="226">
        <f>'4. T7 LAINAT '!F37</f>
        <v>0</v>
      </c>
      <c r="K26" s="227">
        <f>IF(H26&gt;0,IF(C26-1&gt;0,C26-1,C26),C26)</f>
        <v>0</v>
      </c>
      <c r="L26" s="206">
        <f>'4. T7 LAINAT '!G37</f>
        <v>0</v>
      </c>
      <c r="M26" s="206">
        <f>E26-F26+J26-L26/2</f>
        <v>0</v>
      </c>
      <c r="N26" s="206">
        <f>J26-L26</f>
        <v>0</v>
      </c>
      <c r="O26" s="179">
        <f>IF($D26*M26&lt;0,0,M26*$D26)</f>
        <v>0</v>
      </c>
      <c r="P26" s="180">
        <f>'4. T7 LAINAT '!I37</f>
        <v>0</v>
      </c>
      <c r="Q26" s="227">
        <f>IF(E26=0,IF(J26=0,K26,$C26-1),$C26-2)</f>
        <v>0</v>
      </c>
      <c r="R26" s="206">
        <f>'4. T7 LAINAT '!J37</f>
        <v>0</v>
      </c>
      <c r="S26" s="206">
        <f>N26+P26-R26/2</f>
        <v>0</v>
      </c>
      <c r="T26" s="206">
        <f>N26+P26-R26</f>
        <v>0</v>
      </c>
      <c r="U26" s="179">
        <f>IF($D26*S26&lt;0,0,S26*$D26)</f>
        <v>0</v>
      </c>
      <c r="V26" s="180">
        <f>'4. T7 LAINAT '!L37</f>
        <v>0</v>
      </c>
      <c r="W26" s="227">
        <f>IF(Q26-1&gt;0,Q26-1,0)</f>
        <v>0</v>
      </c>
      <c r="X26" s="206">
        <f>'4. T7 LAINAT '!M37</f>
        <v>0</v>
      </c>
      <c r="Y26" s="206">
        <f t="shared" si="15"/>
        <v>0</v>
      </c>
      <c r="Z26" s="206">
        <f>T26+V26-X26</f>
        <v>0</v>
      </c>
      <c r="AA26" s="179">
        <f>IF($D26*Y26&lt;0,0,Y26*$D26)</f>
        <v>0</v>
      </c>
      <c r="AB26" s="180">
        <f>'4. T7 LAINAT '!O37</f>
        <v>0</v>
      </c>
      <c r="AC26" s="227">
        <f>IF(W26-1&gt;0,W26-1,0)</f>
        <v>0</v>
      </c>
      <c r="AD26" s="218">
        <f>'4. T7 LAINAT '!P37</f>
        <v>0</v>
      </c>
      <c r="AE26" s="206">
        <f t="shared" si="16"/>
        <v>0</v>
      </c>
      <c r="AF26" s="206">
        <f>Z26+AB26-AD26</f>
        <v>0</v>
      </c>
      <c r="AG26" s="179">
        <f>IF($D26*AE26&lt;0,0,AE26*$D26)</f>
        <v>0</v>
      </c>
      <c r="AH26" s="180">
        <v>0</v>
      </c>
      <c r="AI26" s="227">
        <f>IF(AC26-1&gt;0,AC26-1,0)</f>
        <v>0</v>
      </c>
      <c r="AJ26" s="218">
        <f>IF(C26=0,0,IF(B26-R26-X26-AD26-L26&lt;=0,0,IF(AF26&lt;AD26,AF26,'AT2 Lainat,sotum., alv-osto'!AD26)))</f>
        <v>0</v>
      </c>
      <c r="AK26" s="206">
        <f t="shared" si="17"/>
        <v>0</v>
      </c>
      <c r="AL26" s="206">
        <f>AF26+AH26-AJ26</f>
        <v>0</v>
      </c>
      <c r="AM26" s="179">
        <f>IF($D26*AK26&lt;0,0,AK26*$D26)</f>
        <v>0</v>
      </c>
    </row>
    <row r="27" spans="1:39" x14ac:dyDescent="0.2">
      <c r="A27" s="89">
        <f>'4. T7 LAINAT '!B38</f>
        <v>0</v>
      </c>
      <c r="B27" s="96">
        <f>'4. T7 LAINAT '!C38</f>
        <v>0</v>
      </c>
      <c r="C27" s="561">
        <f>'4. T7 LAINAT '!D38</f>
        <v>0</v>
      </c>
      <c r="D27" s="97">
        <f>'4. T7 LAINAT '!E38</f>
        <v>0</v>
      </c>
      <c r="E27" s="734"/>
      <c r="F27" s="735"/>
      <c r="G27" s="735"/>
      <c r="H27" s="735"/>
      <c r="I27" s="736"/>
      <c r="J27" s="226">
        <f>'4. T7 LAINAT '!F38</f>
        <v>0</v>
      </c>
      <c r="K27" s="227">
        <f>IF(H27&gt;0,IF(C27-1&gt;0,C27-1,C27),C27)</f>
        <v>0</v>
      </c>
      <c r="L27" s="206"/>
      <c r="M27" s="206"/>
      <c r="N27" s="206"/>
      <c r="O27" s="179"/>
      <c r="P27" s="180"/>
      <c r="Q27" s="227"/>
      <c r="R27" s="206"/>
      <c r="S27" s="206"/>
      <c r="T27" s="206"/>
      <c r="U27" s="179"/>
      <c r="V27" s="180"/>
      <c r="W27" s="227"/>
      <c r="X27" s="206"/>
      <c r="Y27" s="206">
        <f t="shared" si="15"/>
        <v>0</v>
      </c>
      <c r="Z27" s="206"/>
      <c r="AA27" s="179"/>
      <c r="AB27" s="180">
        <f>'4. T7 LAINAT '!O38</f>
        <v>0</v>
      </c>
      <c r="AC27" s="227">
        <f t="shared" si="21"/>
        <v>0</v>
      </c>
      <c r="AD27" s="577">
        <f>'4. T7 LAINAT '!P38</f>
        <v>0</v>
      </c>
      <c r="AE27" s="206">
        <f t="shared" si="16"/>
        <v>0</v>
      </c>
      <c r="AF27" s="206">
        <f t="shared" si="22"/>
        <v>0</v>
      </c>
      <c r="AG27" s="179">
        <f t="shared" si="23"/>
        <v>0</v>
      </c>
      <c r="AH27" s="180">
        <v>0</v>
      </c>
      <c r="AI27" s="227">
        <f t="shared" si="24"/>
        <v>0</v>
      </c>
      <c r="AJ27" s="577">
        <f>IF(C27=0,0,IF(B27-R27-X27-AD27-L27&lt;=0,0,IF(AF27&lt;AD27,AF27,'AT2 Lainat,sotum., alv-osto'!AD27)))</f>
        <v>0</v>
      </c>
      <c r="AK27" s="206">
        <f t="shared" si="17"/>
        <v>0</v>
      </c>
      <c r="AL27" s="206">
        <f t="shared" si="25"/>
        <v>0</v>
      </c>
      <c r="AM27" s="179">
        <f t="shared" si="26"/>
        <v>0</v>
      </c>
    </row>
    <row r="28" spans="1:39" s="2" customFormat="1" x14ac:dyDescent="0.2">
      <c r="A28" s="2" t="s">
        <v>132</v>
      </c>
      <c r="B28" s="300">
        <f>SUM(B16:B27)</f>
        <v>0</v>
      </c>
      <c r="C28" s="301"/>
      <c r="E28" s="181"/>
      <c r="F28" s="181">
        <f>SUM(F7:F27)</f>
        <v>0</v>
      </c>
      <c r="G28" s="181"/>
      <c r="H28" s="181"/>
      <c r="I28" s="181"/>
      <c r="J28" s="300">
        <f>SUM(J16:J27)</f>
        <v>0</v>
      </c>
      <c r="K28" s="181" t="s">
        <v>0</v>
      </c>
      <c r="L28" s="300">
        <f>SUM(L16:L27)</f>
        <v>0</v>
      </c>
      <c r="M28" s="300">
        <f>SUM(M16:M27)</f>
        <v>0</v>
      </c>
      <c r="N28" s="300">
        <f>SUM(N16:N27)</f>
        <v>0</v>
      </c>
      <c r="O28" s="300">
        <f>SUM(O16:O27)</f>
        <v>0</v>
      </c>
      <c r="P28" s="300">
        <f>SUM(P16:P27)</f>
        <v>0</v>
      </c>
      <c r="Q28" s="181" t="s">
        <v>0</v>
      </c>
      <c r="R28" s="300">
        <f>SUM(R16:R27)</f>
        <v>0</v>
      </c>
      <c r="S28" s="300">
        <f>SUM(S16:S27)</f>
        <v>0</v>
      </c>
      <c r="T28" s="300">
        <f>SUM(T16:T27)</f>
        <v>0</v>
      </c>
      <c r="U28" s="300">
        <f>SUM(U16:U27)</f>
        <v>0</v>
      </c>
      <c r="V28" s="300">
        <f>SUM(V16:V27)</f>
        <v>0</v>
      </c>
      <c r="W28" s="181"/>
      <c r="X28" s="300">
        <f t="shared" ref="X28:AH28" si="27">SUM(X16:X27)</f>
        <v>0</v>
      </c>
      <c r="Y28" s="300">
        <f t="shared" si="27"/>
        <v>0</v>
      </c>
      <c r="Z28" s="300">
        <f t="shared" si="27"/>
        <v>0</v>
      </c>
      <c r="AA28" s="300">
        <f t="shared" si="27"/>
        <v>0</v>
      </c>
      <c r="AB28" s="300">
        <f t="shared" si="27"/>
        <v>0</v>
      </c>
      <c r="AC28" s="300">
        <f t="shared" si="27"/>
        <v>0</v>
      </c>
      <c r="AD28" s="300">
        <f t="shared" si="27"/>
        <v>0</v>
      </c>
      <c r="AE28" s="300">
        <f t="shared" si="27"/>
        <v>0</v>
      </c>
      <c r="AF28" s="300">
        <f t="shared" si="27"/>
        <v>0</v>
      </c>
      <c r="AG28" s="300">
        <f t="shared" si="27"/>
        <v>0</v>
      </c>
      <c r="AH28" s="300">
        <f t="shared" si="27"/>
        <v>0</v>
      </c>
      <c r="AI28" s="181"/>
      <c r="AJ28" s="300">
        <f>SUM(AJ16:AJ27)</f>
        <v>0</v>
      </c>
      <c r="AK28" s="181"/>
      <c r="AL28" s="181">
        <f>SUM(AL15:AL27)</f>
        <v>0</v>
      </c>
      <c r="AM28" s="181"/>
    </row>
    <row r="29" spans="1:39" s="2" customFormat="1" ht="13.5" thickBot="1" x14ac:dyDescent="0.25">
      <c r="B29" s="300"/>
      <c r="C29" s="301"/>
      <c r="E29" s="300"/>
      <c r="F29" s="181"/>
      <c r="G29" s="6" t="s">
        <v>125</v>
      </c>
      <c r="H29" s="300"/>
      <c r="I29" s="300"/>
      <c r="J29" s="300"/>
      <c r="K29" s="181"/>
      <c r="L29" s="6" t="s">
        <v>125</v>
      </c>
      <c r="M29" s="300"/>
      <c r="N29" s="300"/>
      <c r="O29" s="300"/>
      <c r="P29" s="300"/>
      <c r="Q29" s="181"/>
      <c r="R29" s="6" t="s">
        <v>125</v>
      </c>
      <c r="S29" s="300"/>
      <c r="T29" s="300"/>
      <c r="U29" s="300"/>
      <c r="V29" s="300"/>
      <c r="W29" s="181"/>
      <c r="X29" s="6" t="s">
        <v>125</v>
      </c>
      <c r="Y29" s="300"/>
      <c r="Z29" s="300"/>
      <c r="AA29" s="300"/>
      <c r="AB29" s="300"/>
      <c r="AC29" s="300"/>
      <c r="AD29" s="6" t="s">
        <v>125</v>
      </c>
      <c r="AE29" s="300"/>
      <c r="AF29" s="300"/>
      <c r="AG29" s="300"/>
      <c r="AH29" s="300"/>
      <c r="AI29" s="181"/>
      <c r="AJ29" s="6" t="s">
        <v>125</v>
      </c>
      <c r="AK29" s="181"/>
      <c r="AL29" s="181"/>
      <c r="AM29" s="181"/>
    </row>
    <row r="30" spans="1:39" s="2" customFormat="1" x14ac:dyDescent="0.2">
      <c r="A30" s="431" t="s">
        <v>306</v>
      </c>
      <c r="B30" s="432"/>
      <c r="C30" s="433"/>
      <c r="D30" s="431"/>
      <c r="E30" s="434" t="s">
        <v>129</v>
      </c>
      <c r="F30" s="435"/>
      <c r="G30" s="436" t="s">
        <v>313</v>
      </c>
      <c r="H30" s="437" t="s">
        <v>311</v>
      </c>
      <c r="I30" s="437" t="s">
        <v>312</v>
      </c>
      <c r="J30" s="432"/>
      <c r="K30" s="435"/>
      <c r="L30" s="436" t="s">
        <v>313</v>
      </c>
      <c r="M30" s="437" t="s">
        <v>311</v>
      </c>
      <c r="N30" s="437" t="s">
        <v>312</v>
      </c>
      <c r="O30" s="432"/>
      <c r="P30" s="434" t="s">
        <v>129</v>
      </c>
      <c r="Q30" s="435"/>
      <c r="R30" s="436" t="s">
        <v>313</v>
      </c>
      <c r="S30" s="437" t="s">
        <v>311</v>
      </c>
      <c r="T30" s="437" t="s">
        <v>312</v>
      </c>
      <c r="U30" s="432"/>
      <c r="V30" s="434" t="s">
        <v>129</v>
      </c>
      <c r="W30" s="435"/>
      <c r="X30" s="436" t="s">
        <v>313</v>
      </c>
      <c r="Y30" s="437" t="s">
        <v>311</v>
      </c>
      <c r="Z30" s="437" t="s">
        <v>312</v>
      </c>
      <c r="AA30" s="432"/>
      <c r="AB30" s="434" t="s">
        <v>129</v>
      </c>
      <c r="AC30" s="432"/>
      <c r="AD30" s="436" t="s">
        <v>313</v>
      </c>
      <c r="AE30" s="437" t="s">
        <v>311</v>
      </c>
      <c r="AF30" s="437" t="s">
        <v>312</v>
      </c>
      <c r="AG30" s="432"/>
      <c r="AH30" s="434" t="s">
        <v>129</v>
      </c>
      <c r="AI30" s="435"/>
      <c r="AJ30" s="436" t="s">
        <v>313</v>
      </c>
      <c r="AK30" s="437" t="s">
        <v>311</v>
      </c>
      <c r="AL30" s="437" t="s">
        <v>312</v>
      </c>
      <c r="AM30" s="435"/>
    </row>
    <row r="31" spans="1:39" s="2" customFormat="1" x14ac:dyDescent="0.2">
      <c r="A31" s="431" t="s">
        <v>307</v>
      </c>
      <c r="B31" s="432"/>
      <c r="C31" s="433"/>
      <c r="D31" s="431"/>
      <c r="E31" s="435"/>
      <c r="F31" s="435"/>
      <c r="G31" s="435"/>
      <c r="H31" s="435">
        <f>L14</f>
        <v>0</v>
      </c>
      <c r="I31" s="435">
        <f>H14-H31</f>
        <v>0</v>
      </c>
      <c r="J31" s="432"/>
      <c r="K31" s="435"/>
      <c r="L31" s="431"/>
      <c r="M31" s="432">
        <f>R14</f>
        <v>0</v>
      </c>
      <c r="N31" s="432">
        <f>T14</f>
        <v>0</v>
      </c>
      <c r="O31" s="432"/>
      <c r="P31" s="432"/>
      <c r="Q31" s="435"/>
      <c r="R31" s="431"/>
      <c r="S31" s="432">
        <f>R14</f>
        <v>0</v>
      </c>
      <c r="T31" s="432">
        <f>Z14</f>
        <v>0</v>
      </c>
      <c r="U31" s="432"/>
      <c r="V31" s="432"/>
      <c r="W31" s="435"/>
      <c r="X31" s="431"/>
      <c r="Y31" s="432">
        <f>X14</f>
        <v>0</v>
      </c>
      <c r="Z31" s="432">
        <f>AF14</f>
        <v>0</v>
      </c>
      <c r="AA31" s="432"/>
      <c r="AB31" s="432"/>
      <c r="AC31" s="432"/>
      <c r="AD31" s="431"/>
      <c r="AE31" s="432">
        <f>AD14</f>
        <v>0</v>
      </c>
      <c r="AF31" s="432">
        <f>AL14</f>
        <v>0</v>
      </c>
      <c r="AG31" s="432"/>
      <c r="AH31" s="432"/>
      <c r="AI31" s="435"/>
      <c r="AJ31" s="431"/>
      <c r="AK31" s="432">
        <f>AJ14</f>
        <v>0</v>
      </c>
      <c r="AL31" s="432"/>
      <c r="AM31" s="435"/>
    </row>
    <row r="32" spans="1:39" s="2" customFormat="1" x14ac:dyDescent="0.2">
      <c r="A32" s="438" t="s">
        <v>127</v>
      </c>
      <c r="B32" s="432"/>
      <c r="C32" s="433"/>
      <c r="D32" s="431"/>
      <c r="E32" s="435"/>
      <c r="F32" s="435"/>
      <c r="G32" s="435"/>
      <c r="H32" s="435"/>
      <c r="I32" s="435"/>
      <c r="J32" s="432"/>
      <c r="K32" s="435"/>
      <c r="L32" s="432"/>
      <c r="M32" s="432"/>
      <c r="N32" s="432"/>
      <c r="O32" s="432"/>
      <c r="P32" s="432"/>
      <c r="Q32" s="435"/>
      <c r="R32" s="432"/>
      <c r="S32" s="432"/>
      <c r="T32" s="432"/>
      <c r="U32" s="432"/>
      <c r="V32" s="432"/>
      <c r="W32" s="435"/>
      <c r="X32" s="432"/>
      <c r="Y32" s="432"/>
      <c r="Z32" s="432"/>
      <c r="AA32" s="432"/>
      <c r="AB32" s="432"/>
      <c r="AC32" s="432"/>
      <c r="AD32" s="432"/>
      <c r="AE32" s="432"/>
      <c r="AF32" s="432"/>
      <c r="AG32" s="432"/>
      <c r="AH32" s="432"/>
      <c r="AI32" s="435"/>
      <c r="AJ32" s="435"/>
      <c r="AK32" s="435"/>
      <c r="AL32" s="435"/>
      <c r="AM32" s="435"/>
    </row>
    <row r="33" spans="1:39" s="2" customFormat="1" x14ac:dyDescent="0.2">
      <c r="A33" s="439" t="str">
        <f>A16</f>
        <v xml:space="preserve"> Rahoittaja/rahoitettava kohde</v>
      </c>
      <c r="B33" s="432"/>
      <c r="C33" s="433"/>
      <c r="D33" s="431"/>
      <c r="E33" s="435"/>
      <c r="F33" s="435"/>
      <c r="G33" s="435"/>
      <c r="H33" s="435"/>
      <c r="I33" s="435"/>
      <c r="J33" s="432">
        <f>J16</f>
        <v>0</v>
      </c>
      <c r="K33" s="435"/>
      <c r="L33" s="432">
        <f>IF(J33&gt;0,L16,0)</f>
        <v>0</v>
      </c>
      <c r="M33" s="432">
        <f>IF(N16&gt;0,R16,0)</f>
        <v>0</v>
      </c>
      <c r="N33" s="432">
        <f>N16</f>
        <v>0</v>
      </c>
      <c r="O33" s="432"/>
      <c r="P33" s="432">
        <f>P16</f>
        <v>0</v>
      </c>
      <c r="Q33" s="435"/>
      <c r="R33" s="432">
        <f>IF(P33&gt;0,R16,0)</f>
        <v>0</v>
      </c>
      <c r="S33" s="432">
        <f>IF(T16&gt;0,X16,0)</f>
        <v>0</v>
      </c>
      <c r="T33" s="432"/>
      <c r="U33" s="432"/>
      <c r="V33" s="432">
        <f>V16</f>
        <v>0</v>
      </c>
      <c r="W33" s="435"/>
      <c r="X33" s="432">
        <f>IF(V33&gt;0,X16,0)</f>
        <v>0</v>
      </c>
      <c r="Y33" s="432">
        <f>IF(Z16&gt;0,AD16,0)</f>
        <v>0</v>
      </c>
      <c r="Z33" s="432"/>
      <c r="AA33" s="432"/>
      <c r="AB33" s="432">
        <f>AB16</f>
        <v>0</v>
      </c>
      <c r="AC33" s="432"/>
      <c r="AD33" s="432">
        <f>IF(AB33&gt;0,AD16,0)</f>
        <v>0</v>
      </c>
      <c r="AE33" s="432">
        <f>IF(AF16&gt;0,AJ16,0)</f>
        <v>0</v>
      </c>
      <c r="AF33" s="432"/>
      <c r="AG33" s="432"/>
      <c r="AH33" s="432">
        <f>AH16</f>
        <v>0</v>
      </c>
      <c r="AI33" s="435"/>
      <c r="AJ33" s="432">
        <f>IF(AH33&gt;0,AJ16,0)</f>
        <v>0</v>
      </c>
      <c r="AK33" s="432">
        <f>IF(AL16&gt;0,AP16,0)</f>
        <v>0</v>
      </c>
      <c r="AL33" s="432"/>
      <c r="AM33" s="435"/>
    </row>
    <row r="34" spans="1:39" s="2" customFormat="1" x14ac:dyDescent="0.2">
      <c r="A34" s="439">
        <f>A24</f>
        <v>0</v>
      </c>
      <c r="B34" s="432"/>
      <c r="C34" s="433"/>
      <c r="D34" s="431"/>
      <c r="E34" s="435"/>
      <c r="F34" s="435"/>
      <c r="G34" s="435"/>
      <c r="H34" s="435"/>
      <c r="I34" s="435"/>
      <c r="J34" s="432">
        <f>J24</f>
        <v>0</v>
      </c>
      <c r="K34" s="435"/>
      <c r="L34" s="432">
        <f>IF(J34&gt;0,L24,0)</f>
        <v>0</v>
      </c>
      <c r="M34" s="432">
        <f>IF(N24&gt;0,R24,0)</f>
        <v>0</v>
      </c>
      <c r="N34" s="432">
        <f>N24</f>
        <v>0</v>
      </c>
      <c r="O34" s="432"/>
      <c r="P34" s="432">
        <f>P24</f>
        <v>0</v>
      </c>
      <c r="Q34" s="435"/>
      <c r="R34" s="432">
        <f>IF(P34&gt;0,R24,0)</f>
        <v>0</v>
      </c>
      <c r="S34" s="432">
        <f>IF(T24&gt;0,X24,0)</f>
        <v>0</v>
      </c>
      <c r="T34" s="432"/>
      <c r="U34" s="432"/>
      <c r="V34" s="432">
        <f>V24</f>
        <v>0</v>
      </c>
      <c r="W34" s="435"/>
      <c r="X34" s="432">
        <f>IF(V34&gt;0,X24,0)</f>
        <v>0</v>
      </c>
      <c r="Y34" s="432">
        <f>IF(Z24&gt;0,AD24,0)</f>
        <v>0</v>
      </c>
      <c r="Z34" s="432"/>
      <c r="AA34" s="432"/>
      <c r="AB34" s="432">
        <f>AB24</f>
        <v>0</v>
      </c>
      <c r="AC34" s="432"/>
      <c r="AD34" s="432">
        <f>IF(AB34&gt;0,AD24,0)</f>
        <v>0</v>
      </c>
      <c r="AE34" s="432">
        <f>IF(AF24&gt;0,AJ24,0)</f>
        <v>0</v>
      </c>
      <c r="AF34" s="432"/>
      <c r="AG34" s="432"/>
      <c r="AH34" s="432">
        <f>AH24</f>
        <v>0</v>
      </c>
      <c r="AI34" s="435"/>
      <c r="AJ34" s="432">
        <f>IF(AH34&gt;0,AJ24,0)</f>
        <v>0</v>
      </c>
      <c r="AK34" s="432">
        <f>IF(AL24&gt;0,AP24,0)</f>
        <v>0</v>
      </c>
      <c r="AL34" s="432"/>
      <c r="AM34" s="435"/>
    </row>
    <row r="35" spans="1:39" s="2" customFormat="1" x14ac:dyDescent="0.2">
      <c r="A35" s="439">
        <f>A26</f>
        <v>0</v>
      </c>
      <c r="B35" s="432"/>
      <c r="C35" s="433"/>
      <c r="D35" s="431"/>
      <c r="E35" s="435"/>
      <c r="F35" s="435"/>
      <c r="G35" s="435"/>
      <c r="H35" s="435"/>
      <c r="I35" s="435"/>
      <c r="J35" s="432">
        <f>J26</f>
        <v>0</v>
      </c>
      <c r="K35" s="435"/>
      <c r="L35" s="432">
        <f>IF(J35&gt;0,L26,0)</f>
        <v>0</v>
      </c>
      <c r="M35" s="432">
        <f>IF(N26&gt;0,R26,0)</f>
        <v>0</v>
      </c>
      <c r="N35" s="432">
        <f>N26</f>
        <v>0</v>
      </c>
      <c r="O35" s="432"/>
      <c r="P35" s="432">
        <f>P26</f>
        <v>0</v>
      </c>
      <c r="Q35" s="435"/>
      <c r="R35" s="432">
        <f>IF(P35&gt;0,R26,0)</f>
        <v>0</v>
      </c>
      <c r="S35" s="432">
        <f>IF(T26&gt;0,X26,0)</f>
        <v>0</v>
      </c>
      <c r="T35" s="432"/>
      <c r="U35" s="432"/>
      <c r="V35" s="432">
        <f>V26</f>
        <v>0</v>
      </c>
      <c r="W35" s="435"/>
      <c r="X35" s="432">
        <f>IF(V35&gt;0,X26,0)</f>
        <v>0</v>
      </c>
      <c r="Y35" s="432">
        <f>IF(Z26&gt;0,AD26,0)</f>
        <v>0</v>
      </c>
      <c r="Z35" s="432"/>
      <c r="AA35" s="432"/>
      <c r="AB35" s="432">
        <f>AB26</f>
        <v>0</v>
      </c>
      <c r="AC35" s="432"/>
      <c r="AD35" s="432">
        <f>IF(AB35&gt;0,AD26,0)</f>
        <v>0</v>
      </c>
      <c r="AE35" s="432">
        <f>IF(AF26&gt;0,AJ26,0)</f>
        <v>0</v>
      </c>
      <c r="AF35" s="432"/>
      <c r="AG35" s="432"/>
      <c r="AH35" s="432">
        <f>AH26</f>
        <v>0</v>
      </c>
      <c r="AI35" s="435"/>
      <c r="AJ35" s="432">
        <f>IF(AH35&gt;0,AJ26,0)</f>
        <v>0</v>
      </c>
      <c r="AK35" s="432">
        <f>IF(AL26&gt;0,AP26,0)</f>
        <v>0</v>
      </c>
      <c r="AL35" s="432"/>
      <c r="AM35" s="435"/>
    </row>
    <row r="36" spans="1:39" s="2" customFormat="1" x14ac:dyDescent="0.2">
      <c r="A36" s="439">
        <f>A27</f>
        <v>0</v>
      </c>
      <c r="B36" s="432"/>
      <c r="C36" s="433"/>
      <c r="D36" s="431"/>
      <c r="E36" s="435"/>
      <c r="F36" s="435"/>
      <c r="G36" s="435"/>
      <c r="H36" s="435"/>
      <c r="I36" s="435"/>
      <c r="J36" s="432">
        <f>J27</f>
        <v>0</v>
      </c>
      <c r="K36" s="435"/>
      <c r="L36" s="432">
        <f>IF(J36&gt;0,L27,0)</f>
        <v>0</v>
      </c>
      <c r="M36" s="432">
        <f>IF(N27&gt;0,R27,0)</f>
        <v>0</v>
      </c>
      <c r="N36" s="432">
        <f>N27</f>
        <v>0</v>
      </c>
      <c r="O36" s="432"/>
      <c r="P36" s="432">
        <f>P27</f>
        <v>0</v>
      </c>
      <c r="Q36" s="435"/>
      <c r="R36" s="432">
        <f>IF(P36&gt;0,R27,0)</f>
        <v>0</v>
      </c>
      <c r="S36" s="432">
        <f>IF(T27&gt;0,X27,0)</f>
        <v>0</v>
      </c>
      <c r="T36" s="432"/>
      <c r="U36" s="432"/>
      <c r="V36" s="432">
        <f>V27</f>
        <v>0</v>
      </c>
      <c r="W36" s="435"/>
      <c r="X36" s="432">
        <f>IF(V36&gt;0,X27,0)</f>
        <v>0</v>
      </c>
      <c r="Y36" s="432">
        <f>IF(Z27&gt;0,AD27,0)</f>
        <v>0</v>
      </c>
      <c r="Z36" s="432"/>
      <c r="AA36" s="432"/>
      <c r="AB36" s="432">
        <f>AB27</f>
        <v>0</v>
      </c>
      <c r="AC36" s="432"/>
      <c r="AD36" s="432">
        <f>IF(AB36&gt;0,AD27,0)</f>
        <v>0</v>
      </c>
      <c r="AE36" s="432">
        <f>IF(AF27&gt;0,AJ27,0)</f>
        <v>0</v>
      </c>
      <c r="AF36" s="432"/>
      <c r="AG36" s="432"/>
      <c r="AH36" s="432">
        <f>AH27</f>
        <v>0</v>
      </c>
      <c r="AI36" s="435"/>
      <c r="AJ36" s="432">
        <f>IF(AH36&gt;0,AJ27,0)</f>
        <v>0</v>
      </c>
      <c r="AK36" s="432">
        <f>IF(AL27&gt;0,AP27,0)</f>
        <v>0</v>
      </c>
      <c r="AL36" s="432"/>
      <c r="AM36" s="435"/>
    </row>
    <row r="37" spans="1:39" s="2" customFormat="1" ht="13.5" thickBot="1" x14ac:dyDescent="0.25">
      <c r="A37" s="431" t="s">
        <v>315</v>
      </c>
      <c r="B37" s="432"/>
      <c r="C37" s="433"/>
      <c r="D37" s="431"/>
      <c r="E37" s="435"/>
      <c r="F37" s="435"/>
      <c r="G37" s="435"/>
      <c r="H37" s="435"/>
      <c r="I37" s="435"/>
      <c r="J37" s="432">
        <f>SUM(J33:J36)</f>
        <v>0</v>
      </c>
      <c r="K37" s="435"/>
      <c r="L37" s="432">
        <f>SUM(L31:L36)</f>
        <v>0</v>
      </c>
      <c r="M37" s="432">
        <f>SUM(M31:M36)</f>
        <v>0</v>
      </c>
      <c r="N37" s="432">
        <f>SUM(N31:N36)</f>
        <v>0</v>
      </c>
      <c r="O37" s="432"/>
      <c r="P37" s="432">
        <f>SUM(P33:P36)</f>
        <v>0</v>
      </c>
      <c r="Q37" s="435"/>
      <c r="R37" s="432">
        <f>SUM(R30:R36)</f>
        <v>0</v>
      </c>
      <c r="S37" s="432">
        <f>SUM(S31:S36)</f>
        <v>0</v>
      </c>
      <c r="T37" s="432"/>
      <c r="U37" s="432"/>
      <c r="V37" s="432">
        <f>SUM(V33:V36)</f>
        <v>0</v>
      </c>
      <c r="W37" s="435"/>
      <c r="X37" s="432">
        <f>SUM(X30:X36)</f>
        <v>0</v>
      </c>
      <c r="Y37" s="432">
        <f>SUM(Y31:Y36)</f>
        <v>0</v>
      </c>
      <c r="Z37" s="432">
        <f>SUM(Z31:Z36)</f>
        <v>0</v>
      </c>
      <c r="AA37" s="432"/>
      <c r="AB37" s="432">
        <f>SUM(AB33:AB36)</f>
        <v>0</v>
      </c>
      <c r="AC37" s="432"/>
      <c r="AD37" s="432">
        <f>SUM(AD30:AD36)</f>
        <v>0</v>
      </c>
      <c r="AE37" s="432">
        <f>SUM(AE31:AE36)</f>
        <v>0</v>
      </c>
      <c r="AF37" s="432">
        <f>SUM(AF31:AF36)</f>
        <v>0</v>
      </c>
      <c r="AG37" s="432"/>
      <c r="AH37" s="432">
        <f>SUM(AH33:AH36)</f>
        <v>0</v>
      </c>
      <c r="AI37" s="435"/>
      <c r="AJ37" s="432">
        <f>SUM(AJ30:AJ36)</f>
        <v>0</v>
      </c>
      <c r="AK37" s="435"/>
      <c r="AL37" s="432">
        <f>SUM(AL31:AL36)</f>
        <v>0</v>
      </c>
      <c r="AM37" s="435"/>
    </row>
    <row r="38" spans="1:39" s="2" customFormat="1" x14ac:dyDescent="0.2">
      <c r="C38" s="6" t="s">
        <v>136</v>
      </c>
      <c r="E38" s="2216" t="e">
        <f>E3</f>
        <v>#REF!</v>
      </c>
      <c r="F38" s="2217"/>
      <c r="G38" s="2217"/>
      <c r="H38" s="2217"/>
      <c r="I38" s="2218"/>
      <c r="J38" s="2216" t="str">
        <f>J3</f>
        <v>Ennuste 1</v>
      </c>
      <c r="K38" s="2217"/>
      <c r="L38" s="2217"/>
      <c r="M38" s="2217"/>
      <c r="N38" s="2217"/>
      <c r="O38" s="2218"/>
      <c r="P38" s="2216" t="str">
        <f>P3</f>
        <v>Ennuste 2</v>
      </c>
      <c r="Q38" s="2217"/>
      <c r="R38" s="2217"/>
      <c r="S38" s="2217"/>
      <c r="T38" s="2217"/>
      <c r="U38" s="2218"/>
      <c r="V38" s="2216" t="str">
        <f>V3</f>
        <v>Ennuste 3</v>
      </c>
      <c r="W38" s="2217"/>
      <c r="X38" s="2217"/>
      <c r="Y38" s="2217"/>
      <c r="Z38" s="2217"/>
      <c r="AA38" s="2218"/>
      <c r="AB38" s="2216" t="s">
        <v>259</v>
      </c>
      <c r="AC38" s="2217"/>
      <c r="AD38" s="2217"/>
      <c r="AE38" s="2217"/>
      <c r="AF38" s="2217"/>
      <c r="AG38" s="2218"/>
      <c r="AH38" s="2216" t="s">
        <v>284</v>
      </c>
      <c r="AI38" s="2217"/>
      <c r="AJ38" s="2217"/>
      <c r="AK38" s="2217"/>
      <c r="AL38" s="2217"/>
      <c r="AM38" s="2218"/>
    </row>
    <row r="39" spans="1:39" ht="13.5" thickBot="1" x14ac:dyDescent="0.25">
      <c r="B39" s="6" t="s">
        <v>128</v>
      </c>
      <c r="C39" s="6" t="s">
        <v>135</v>
      </c>
      <c r="D39" s="6" t="s">
        <v>126</v>
      </c>
      <c r="E39" s="2209" t="e">
        <f>E4</f>
        <v>#REF!</v>
      </c>
      <c r="F39" s="2210"/>
      <c r="G39" s="2210"/>
      <c r="H39" s="2210"/>
      <c r="I39" s="2211"/>
      <c r="J39" s="2209">
        <f>J4</f>
        <v>2024</v>
      </c>
      <c r="K39" s="2210"/>
      <c r="L39" s="2210"/>
      <c r="M39" s="2210"/>
      <c r="N39" s="2210"/>
      <c r="O39" s="2211"/>
      <c r="P39" s="2219">
        <f>P4</f>
        <v>2025</v>
      </c>
      <c r="Q39" s="2220"/>
      <c r="R39" s="2220"/>
      <c r="S39" s="2220"/>
      <c r="T39" s="2220"/>
      <c r="U39" s="2221"/>
      <c r="V39" s="2219">
        <f>V4</f>
        <v>2026</v>
      </c>
      <c r="W39" s="2220"/>
      <c r="X39" s="2220"/>
      <c r="Y39" s="2220"/>
      <c r="Z39" s="2220"/>
      <c r="AA39" s="2221"/>
      <c r="AB39" s="2219">
        <f>AB4</f>
        <v>2027</v>
      </c>
      <c r="AC39" s="2220"/>
      <c r="AD39" s="2220"/>
      <c r="AE39" s="2220"/>
      <c r="AF39" s="2220"/>
      <c r="AG39" s="2221"/>
      <c r="AH39" s="2219">
        <f>AH4</f>
        <v>2028</v>
      </c>
      <c r="AI39" s="2220"/>
      <c r="AJ39" s="2220"/>
      <c r="AK39" s="2220"/>
      <c r="AL39" s="2220"/>
      <c r="AM39" s="2221"/>
    </row>
    <row r="40" spans="1:39" s="2" customFormat="1" x14ac:dyDescent="0.2">
      <c r="A40" s="270" t="s">
        <v>229</v>
      </c>
      <c r="B40" s="271">
        <f>'4. T7 LAINAT '!C19</f>
        <v>0</v>
      </c>
      <c r="C40" s="177">
        <f>IF(12*'4. T7 LAINAT '!D19-12&lt;0,0,12*'4. T7 LAINAT '!D19-12)</f>
        <v>0</v>
      </c>
      <c r="D40" s="272">
        <f>'4. T7 LAINAT '!E19</f>
        <v>0</v>
      </c>
      <c r="E40" s="273"/>
      <c r="F40" s="274"/>
      <c r="G40" s="273"/>
      <c r="H40" s="271">
        <f>B40</f>
        <v>0</v>
      </c>
      <c r="I40" s="273"/>
      <c r="J40" s="271"/>
      <c r="K40" s="271"/>
      <c r="L40" s="271">
        <f>'4. T7 LAINAT '!F19</f>
        <v>0</v>
      </c>
      <c r="M40" s="271"/>
      <c r="N40" s="271">
        <f>H40</f>
        <v>0</v>
      </c>
      <c r="O40" s="271">
        <f>IF($C40&lt;P41,0,IF($D40=0,0,-CUMIPMT($D40/12,$C40,$B40+L40,P41,P42,0)))</f>
        <v>0</v>
      </c>
      <c r="P40" s="271"/>
      <c r="Q40" s="271"/>
      <c r="R40" s="271">
        <f>IF($C40&lt;P41,0,IF($D40=0,0,-CUMPRINC($D40/12,$C40,$B40,P41,P42,0)))</f>
        <v>0</v>
      </c>
      <c r="S40" s="271"/>
      <c r="T40" s="271">
        <f>IF(R40=0,0,N40-R40)</f>
        <v>0</v>
      </c>
      <c r="U40" s="271">
        <f>IF($C40&lt;P41,0,IF($D40=0,0,-CUMIPMT($D40/12,$C40,$B40,P41,P42,0)))</f>
        <v>0</v>
      </c>
      <c r="V40" s="271"/>
      <c r="W40" s="271"/>
      <c r="X40" s="271">
        <f>IF($C40&lt;V41,0,IF($D40=0,0,-CUMPRINC($D40/12,$C40,$B40,V41,V42,0)))</f>
        <v>0</v>
      </c>
      <c r="Y40" s="271"/>
      <c r="Z40" s="271">
        <f>IF(X40=0,0,T40-X40)</f>
        <v>0</v>
      </c>
      <c r="AA40" s="271">
        <f>IF($C40&lt;V41,0,IF($D40=0,0,-CUMIPMT($D40/12,$C40,$B40,V41,V42,0)))</f>
        <v>0</v>
      </c>
      <c r="AB40" s="271"/>
      <c r="AC40" s="271"/>
      <c r="AD40" s="271">
        <f>IF($C40&lt;AB41,0,IF($D40=0,0,-CUMPRINC($D40/12,$C40,$B40,AB41,AB42,0)))</f>
        <v>0</v>
      </c>
      <c r="AE40" s="271"/>
      <c r="AF40" s="271">
        <f>IF(AD40=0,0,Z40-AD40)</f>
        <v>0</v>
      </c>
      <c r="AG40" s="275">
        <f>IF($C40&lt;AB41,0,IF($D40=0,0,-CUMIPMT($D40/12,$C40,$B40,AB41,AB42,0)))</f>
        <v>0</v>
      </c>
      <c r="AH40" s="271"/>
      <c r="AI40" s="271"/>
      <c r="AJ40" s="271">
        <f>IF($C40&lt;AH41,0,IF($D40=0,0,-CUMPRINC($D40/12,$C40,$B40,AH41,AH42,0)))</f>
        <v>0</v>
      </c>
      <c r="AK40" s="271"/>
      <c r="AL40" s="271">
        <f>IF(AJ40=0,0,AF40-AJ40)</f>
        <v>0</v>
      </c>
      <c r="AM40" s="275">
        <f>IF($C40&lt;AH41,0,IF($D40=0,0,-CUMIPMT($D40/12,$C40,$B40,AH41,AH42,0)))</f>
        <v>0</v>
      </c>
    </row>
    <row r="41" spans="1:39" x14ac:dyDescent="0.2">
      <c r="A41" s="276" t="s">
        <v>230</v>
      </c>
      <c r="F41" s="102"/>
      <c r="P41" s="41">
        <v>1</v>
      </c>
      <c r="Q41" s="109"/>
      <c r="R41" s="41"/>
      <c r="S41" s="41"/>
      <c r="T41" s="41"/>
      <c r="U41" s="41"/>
      <c r="V41" s="41">
        <v>13</v>
      </c>
      <c r="W41" s="109"/>
      <c r="X41" s="41"/>
      <c r="Y41" s="41"/>
      <c r="Z41" s="41"/>
      <c r="AA41" s="41"/>
      <c r="AB41" s="41">
        <v>25</v>
      </c>
      <c r="AC41" s="41"/>
      <c r="AD41" s="41"/>
      <c r="AE41" s="41"/>
      <c r="AF41" s="41"/>
      <c r="AG41" s="41"/>
      <c r="AH41">
        <v>37</v>
      </c>
      <c r="AM41" s="178"/>
    </row>
    <row r="42" spans="1:39" x14ac:dyDescent="0.2">
      <c r="A42" s="276" t="s">
        <v>231</v>
      </c>
      <c r="F42" s="102"/>
      <c r="P42" s="41">
        <v>12</v>
      </c>
      <c r="Q42" s="109"/>
      <c r="R42" s="41"/>
      <c r="S42" s="41"/>
      <c r="T42" s="41"/>
      <c r="U42" s="41"/>
      <c r="V42" s="41">
        <v>24</v>
      </c>
      <c r="W42" s="109"/>
      <c r="X42" s="41"/>
      <c r="Y42" s="41"/>
      <c r="Z42" s="41"/>
      <c r="AA42" s="41"/>
      <c r="AB42" s="41">
        <v>36</v>
      </c>
      <c r="AC42" s="41"/>
      <c r="AD42" s="41"/>
      <c r="AE42" s="41"/>
      <c r="AF42" s="41"/>
      <c r="AG42" s="41"/>
      <c r="AH42">
        <v>48</v>
      </c>
      <c r="AM42" s="178"/>
    </row>
    <row r="43" spans="1:39" ht="13.5" thickBot="1" x14ac:dyDescent="0.25">
      <c r="A43" s="277" t="s">
        <v>281</v>
      </c>
      <c r="B43" s="193"/>
      <c r="C43" s="278"/>
      <c r="D43" s="193"/>
      <c r="E43" s="193"/>
      <c r="F43" s="279"/>
      <c r="G43" s="193"/>
      <c r="H43" s="280">
        <f>SUM(H40:H42)</f>
        <v>0</v>
      </c>
      <c r="I43" s="193"/>
      <c r="J43" s="280"/>
      <c r="K43" s="281"/>
      <c r="L43" s="280">
        <f>SUM(L40:L42)</f>
        <v>0</v>
      </c>
      <c r="M43" s="280"/>
      <c r="N43" s="280">
        <f>SUM(N40:N42)</f>
        <v>0</v>
      </c>
      <c r="O43" s="280">
        <f>SUM(O40:O42)</f>
        <v>0</v>
      </c>
      <c r="P43" s="280"/>
      <c r="Q43" s="281"/>
      <c r="R43" s="280">
        <f>SUM(R40:R42)</f>
        <v>0</v>
      </c>
      <c r="S43" s="280"/>
      <c r="T43" s="280">
        <f>SUM(T40:T42)</f>
        <v>0</v>
      </c>
      <c r="U43" s="280">
        <f>SUM(U40:U42)</f>
        <v>0</v>
      </c>
      <c r="V43" s="280"/>
      <c r="W43" s="280"/>
      <c r="X43" s="280">
        <f>SUM(X40:X42)</f>
        <v>0</v>
      </c>
      <c r="Y43" s="280"/>
      <c r="Z43" s="280">
        <f>SUM(Z40:Z42)</f>
        <v>0</v>
      </c>
      <c r="AA43" s="280">
        <f>SUM(AA40:AA42)</f>
        <v>0</v>
      </c>
      <c r="AB43" s="193"/>
      <c r="AC43" s="193"/>
      <c r="AD43" s="280">
        <f>SUM(AD40:AD42)</f>
        <v>0</v>
      </c>
      <c r="AE43" s="193"/>
      <c r="AF43" s="280">
        <f>SUM(AF40:AF42)</f>
        <v>0</v>
      </c>
      <c r="AG43" s="280">
        <f>SUM(AG40:AG42)</f>
        <v>0</v>
      </c>
      <c r="AH43" s="193"/>
      <c r="AI43" s="193"/>
      <c r="AJ43" s="280">
        <f>SUM(AJ40:AJ42)</f>
        <v>0</v>
      </c>
      <c r="AK43" s="193"/>
      <c r="AL43" s="280">
        <f>SUM(AL40:AL42)</f>
        <v>0</v>
      </c>
      <c r="AM43" s="280">
        <f>SUM(AM40:AM42)</f>
        <v>0</v>
      </c>
    </row>
    <row r="44" spans="1:39" x14ac:dyDescent="0.2">
      <c r="A44" s="176" t="s">
        <v>233</v>
      </c>
      <c r="B44" s="41">
        <f>'4. T7 LAINAT '!C41</f>
        <v>0</v>
      </c>
      <c r="C44" s="177">
        <f>12*'4. T7 LAINAT '!D41</f>
        <v>0</v>
      </c>
      <c r="D44" s="195">
        <f>'4. T7 LAINAT '!E41</f>
        <v>0</v>
      </c>
      <c r="F44" s="102"/>
      <c r="J44" s="109">
        <f>'4. T7 LAINAT '!F41</f>
        <v>0</v>
      </c>
      <c r="K44" s="181"/>
      <c r="L44" s="181">
        <f>IF($D44=0,0,-CUMPRINC($D44/12,$C44,$B44,J45,J46,0))</f>
        <v>0</v>
      </c>
      <c r="M44" s="181"/>
      <c r="N44" s="181">
        <f>J44-L44</f>
        <v>0</v>
      </c>
      <c r="O44" s="271">
        <f>IF($C44&lt;J45,0,IF($D44=0,0,-CUMIPMT($D44/12,$C44,$B44,J45,J46,0)))</f>
        <v>0</v>
      </c>
      <c r="P44" s="181"/>
      <c r="Q44" s="181"/>
      <c r="R44" s="271">
        <f>IF($C44&lt;P45,0,IF($D44=0,0,-CUMPRINC($D44/12,$C44,$B44,P45,P46,0)))</f>
        <v>0</v>
      </c>
      <c r="S44" s="181"/>
      <c r="T44" s="181">
        <f>N44-R44</f>
        <v>0</v>
      </c>
      <c r="U44" s="271">
        <f>IF($C44&lt;P45,0,IF($D44=0,0,-CUMIPMT($D44/12,$C44,$B44,P45,P46,0)))</f>
        <v>0</v>
      </c>
      <c r="V44" s="181"/>
      <c r="W44" s="181"/>
      <c r="X44" s="271">
        <f>IF($C44&lt;V45,0,IF($D44=0,0,-CUMPRINC($D44/12,$C44,$B44,V45,V46,0)))</f>
        <v>0</v>
      </c>
      <c r="Y44" s="181"/>
      <c r="Z44" s="181">
        <f>T44-X44</f>
        <v>0</v>
      </c>
      <c r="AA44" s="271">
        <f>IF($C44&lt;V45,0,IF($D44=0,0,-CUMIPMT($D44/12,$C44,$B44,V45,V46,0)))</f>
        <v>0</v>
      </c>
      <c r="AB44" s="181"/>
      <c r="AC44" s="181"/>
      <c r="AD44" s="271">
        <f>IF($C44&lt;AB45,0,IF($D44=0,0,-CUMPRINC($D44/12,$C44,$B44,AB45,AB46,0)))</f>
        <v>0</v>
      </c>
      <c r="AE44" s="181"/>
      <c r="AF44" s="181">
        <f>Z44-AD44</f>
        <v>0</v>
      </c>
      <c r="AG44" s="275">
        <f>IF($C44&lt;AB45,0,IF($D44=0,0,-CUMIPMT($D44/12,$C44,$B44,AB45,AB46,0)))</f>
        <v>0</v>
      </c>
      <c r="AH44" s="181"/>
      <c r="AI44" s="181"/>
      <c r="AJ44" s="271">
        <f>IF($C44&lt;AH45,0,IF($D44=0,0,-CUMPRINC($D44/12,$C44,$B44,AH45,AH46,0)))</f>
        <v>0</v>
      </c>
      <c r="AK44" s="181"/>
      <c r="AL44" s="181">
        <f>AF44-AJ44</f>
        <v>0</v>
      </c>
      <c r="AM44" s="275">
        <f>IF($C44&lt;AH45,0,IF($D44=0,0,-CUMIPMT($D44/12,$C44,$B44,AH45,AH46,0)))</f>
        <v>0</v>
      </c>
    </row>
    <row r="45" spans="1:39" x14ac:dyDescent="0.2">
      <c r="A45" s="197" t="s">
        <v>230</v>
      </c>
      <c r="F45" s="102"/>
      <c r="J45" s="41">
        <v>1</v>
      </c>
      <c r="K45" s="109"/>
      <c r="L45" s="41"/>
      <c r="M45" s="41"/>
      <c r="N45" s="41"/>
      <c r="O45" s="41"/>
      <c r="P45" s="41">
        <v>13</v>
      </c>
      <c r="Q45" s="109"/>
      <c r="R45" s="41"/>
      <c r="S45" s="41"/>
      <c r="T45" s="41"/>
      <c r="U45" s="41"/>
      <c r="V45" s="41">
        <v>25</v>
      </c>
      <c r="W45" s="41"/>
      <c r="X45" s="41"/>
      <c r="Y45" s="41"/>
      <c r="Z45" s="41"/>
      <c r="AA45" s="41"/>
      <c r="AB45">
        <v>37</v>
      </c>
      <c r="AH45">
        <v>49</v>
      </c>
    </row>
    <row r="46" spans="1:39" ht="13.5" thickBot="1" x14ac:dyDescent="0.25">
      <c r="A46" s="197" t="s">
        <v>231</v>
      </c>
      <c r="F46" s="102"/>
      <c r="J46" s="41">
        <v>12</v>
      </c>
      <c r="K46" s="109"/>
      <c r="L46" s="41"/>
      <c r="M46" s="41"/>
      <c r="N46" s="41"/>
      <c r="O46" s="41"/>
      <c r="P46" s="41">
        <v>24</v>
      </c>
      <c r="Q46" s="109"/>
      <c r="R46" s="41"/>
      <c r="S46" s="41"/>
      <c r="T46" s="41"/>
      <c r="U46" s="41"/>
      <c r="V46" s="41">
        <v>36</v>
      </c>
      <c r="W46" s="41"/>
      <c r="X46" s="41"/>
      <c r="Y46" s="41"/>
      <c r="Z46" s="41"/>
      <c r="AA46" s="41"/>
      <c r="AB46">
        <v>48</v>
      </c>
      <c r="AH46">
        <v>60</v>
      </c>
    </row>
    <row r="47" spans="1:39" s="2" customFormat="1" x14ac:dyDescent="0.2">
      <c r="A47" s="176" t="s">
        <v>234</v>
      </c>
      <c r="B47" s="41">
        <f>'4. T7 LAINAT '!C42</f>
        <v>0</v>
      </c>
      <c r="C47" s="91">
        <f>'4. T7 LAINAT '!D42*12</f>
        <v>0</v>
      </c>
      <c r="D47" s="195">
        <f>'4. T7 LAINAT '!E42</f>
        <v>0</v>
      </c>
      <c r="F47" s="196"/>
      <c r="J47" s="109">
        <f>'4. T7 LAINAT '!F42</f>
        <v>0</v>
      </c>
      <c r="K47" s="181"/>
      <c r="L47" s="181">
        <f>IF($D47=0,0,IF($J47=0,0,-CUMPRINC($D47/12,$C47,$B47,P48,P49,0)))</f>
        <v>0</v>
      </c>
      <c r="M47" s="181"/>
      <c r="N47" s="181"/>
      <c r="O47" s="181">
        <v>0</v>
      </c>
      <c r="P47" s="109">
        <f>'4. T7 LAINAT '!I42</f>
        <v>0</v>
      </c>
      <c r="Q47" s="181"/>
      <c r="R47" s="271">
        <f>IF($C47&lt;P48,0,IF($D47=0,0,-CUMPRINC($D47/12,$C47,$B47,P48,P49,0)))</f>
        <v>0</v>
      </c>
      <c r="S47" s="198"/>
      <c r="T47" s="199">
        <f>P47-R47</f>
        <v>0</v>
      </c>
      <c r="U47" s="271">
        <f>IF($C47&lt;P48,0,IF($D47=0,0,-CUMIPMT($D47/12,$C47,$B47,P48,P49,0)))</f>
        <v>0</v>
      </c>
      <c r="V47" s="181"/>
      <c r="W47" s="181"/>
      <c r="X47" s="271">
        <f>IF($C47&lt;V48,0,IF($D47=0,0,-CUMPRINC($D47/12,$C47,$B47,V48,V49,0)))</f>
        <v>0</v>
      </c>
      <c r="Y47" s="181"/>
      <c r="Z47" s="181">
        <f>T47-X47</f>
        <v>0</v>
      </c>
      <c r="AA47" s="271">
        <f>IF($C47&lt;V48,0,IF($D47=0,0,-CUMIPMT($D47/12,$C47,$B47,V48,V49,0)))</f>
        <v>0</v>
      </c>
      <c r="AB47" s="181"/>
      <c r="AC47" s="181"/>
      <c r="AD47" s="271">
        <f>IF($C47&lt;AB48,0,IF($D47=0,0,-CUMPRINC($D47/12,$C47,$B47,AB48,AB49,0)))</f>
        <v>0</v>
      </c>
      <c r="AE47" s="181"/>
      <c r="AF47" s="181">
        <f>Z47-AD47</f>
        <v>0</v>
      </c>
      <c r="AG47" s="275">
        <f>IF($C47&lt;AB48,0,IF($D47=0,0,-CUMIPMT($D47/12,$C47,$B47,AB48,AB49,0)))</f>
        <v>0</v>
      </c>
      <c r="AH47" s="181"/>
      <c r="AI47" s="181"/>
      <c r="AJ47" s="271">
        <f>IF($C47&lt;AH48,0,IF($D47=0,0,-CUMPRINC($D47/12,$C47,$B47,AH48,AH49,0)))</f>
        <v>0</v>
      </c>
      <c r="AK47" s="181"/>
      <c r="AL47" s="181">
        <f>AF47-AJ47</f>
        <v>0</v>
      </c>
      <c r="AM47" s="275">
        <f>IF($C47&lt;AH48,0,IF($D47=0,0,-CUMIPMT($D47/12,$C47,$B47,AH48,AH49,0)))</f>
        <v>0</v>
      </c>
    </row>
    <row r="48" spans="1:39" x14ac:dyDescent="0.2">
      <c r="A48" s="197" t="s">
        <v>230</v>
      </c>
      <c r="F48" s="102"/>
      <c r="J48" s="41"/>
      <c r="K48" s="41"/>
      <c r="L48" s="41"/>
      <c r="M48" s="41"/>
      <c r="N48" s="41"/>
      <c r="O48" s="41"/>
      <c r="P48" s="41">
        <v>1</v>
      </c>
      <c r="Q48" s="109"/>
      <c r="R48" s="41"/>
      <c r="S48" s="41"/>
      <c r="T48" s="41"/>
      <c r="U48" s="41"/>
      <c r="V48" s="41">
        <v>13</v>
      </c>
      <c r="W48" s="109"/>
      <c r="X48" s="41"/>
      <c r="Y48" s="41"/>
      <c r="Z48" s="41"/>
      <c r="AA48" s="41"/>
      <c r="AB48" s="93">
        <v>25</v>
      </c>
      <c r="AH48" s="93">
        <v>37</v>
      </c>
    </row>
    <row r="49" spans="1:39" ht="13.5" thickBot="1" x14ac:dyDescent="0.25">
      <c r="A49" s="197" t="s">
        <v>231</v>
      </c>
      <c r="F49" s="102"/>
      <c r="J49" s="41"/>
      <c r="K49" s="41"/>
      <c r="L49" s="41"/>
      <c r="M49" s="41"/>
      <c r="N49" s="41"/>
      <c r="O49" s="41"/>
      <c r="P49" s="41">
        <v>12</v>
      </c>
      <c r="Q49" s="109"/>
      <c r="R49" s="41"/>
      <c r="S49" s="41"/>
      <c r="T49" s="41"/>
      <c r="U49" s="41"/>
      <c r="V49" s="41">
        <v>24</v>
      </c>
      <c r="W49" s="109"/>
      <c r="X49" s="41"/>
      <c r="Y49" s="41"/>
      <c r="Z49" s="41"/>
      <c r="AA49" s="41"/>
      <c r="AB49" s="93">
        <v>36</v>
      </c>
      <c r="AH49" s="93">
        <v>48</v>
      </c>
    </row>
    <row r="50" spans="1:39" x14ac:dyDescent="0.2">
      <c r="A50" s="176" t="s">
        <v>235</v>
      </c>
      <c r="B50" s="41">
        <f>'4. T7 LAINAT '!C43</f>
        <v>0</v>
      </c>
      <c r="C50" s="91">
        <f>'4. T7 LAINAT '!D43*12</f>
        <v>0</v>
      </c>
      <c r="D50" s="195">
        <f>'4. T7 LAINAT '!E43</f>
        <v>0</v>
      </c>
      <c r="F50" s="102"/>
      <c r="J50" s="41"/>
      <c r="K50" s="41"/>
      <c r="L50" s="41"/>
      <c r="M50" s="41"/>
      <c r="N50" s="41"/>
      <c r="O50" s="41"/>
      <c r="P50" s="41"/>
      <c r="Q50" s="109"/>
      <c r="R50" s="41"/>
      <c r="S50" s="41"/>
      <c r="T50" s="41"/>
      <c r="U50" s="41"/>
      <c r="V50" s="41">
        <f>'4. T7 LAINAT '!L43</f>
        <v>0</v>
      </c>
      <c r="W50" s="109"/>
      <c r="X50" s="271">
        <f>IF($C50&lt;V51,0,IF($D50=0,0,-CUMPRINC($D50/12,$C50,$B50,V51,V52,0)))</f>
        <v>0</v>
      </c>
      <c r="Y50" s="181"/>
      <c r="Z50" s="181">
        <f>V50-X50</f>
        <v>0</v>
      </c>
      <c r="AA50" s="271">
        <f>IF($C50&lt;V51,0,IF($D50=0,0,-CUMIPMT($D50/12,$C50,$B50,V51,V52,0)))</f>
        <v>0</v>
      </c>
      <c r="AB50" s="181"/>
      <c r="AC50" s="181"/>
      <c r="AD50" s="271">
        <f>IF($C50&lt;AB51,0,IF($D50=0,0,-CUMPRINC($D50/12,$C50,$B50,AB51,AB52,0)))</f>
        <v>0</v>
      </c>
      <c r="AE50" s="181"/>
      <c r="AF50" s="181">
        <f>Z50-AD50</f>
        <v>0</v>
      </c>
      <c r="AG50" s="275">
        <f>IF($C50&lt;AB51,0,IF($D50=0,0,-CUMIPMT($D50/12,$C50,$B50,AB51,AB52,0)))</f>
        <v>0</v>
      </c>
      <c r="AH50" s="181"/>
      <c r="AI50" s="181"/>
      <c r="AJ50" s="271">
        <f>IF($C50&lt;AH51,0,IF($D50=0,0,-CUMPRINC($D50/12,$C50,$B50,AH51,AH52,0)))</f>
        <v>0</v>
      </c>
      <c r="AK50" s="181"/>
      <c r="AL50" s="181">
        <f>AF50-AJ50</f>
        <v>0</v>
      </c>
      <c r="AM50" s="275">
        <f>IF($C50&lt;AH51,0,IF($D50=0,0,-CUMIPMT($D50/12,$C50,$B50,AH51,AH52,0)))</f>
        <v>0</v>
      </c>
    </row>
    <row r="51" spans="1:39" x14ac:dyDescent="0.2">
      <c r="A51" s="197" t="s">
        <v>230</v>
      </c>
      <c r="F51" s="102"/>
      <c r="J51" s="41"/>
      <c r="K51" s="41"/>
      <c r="L51" s="41"/>
      <c r="M51" s="41"/>
      <c r="N51" s="41"/>
      <c r="O51" s="41"/>
      <c r="P51" s="41"/>
      <c r="Q51" s="109"/>
      <c r="R51" s="41"/>
      <c r="S51" s="41"/>
      <c r="T51" s="41"/>
      <c r="U51" s="41"/>
      <c r="V51" s="41">
        <v>1</v>
      </c>
      <c r="W51" s="109"/>
      <c r="X51" s="41"/>
      <c r="Y51" s="41"/>
      <c r="Z51" s="41"/>
      <c r="AA51" s="41"/>
      <c r="AB51" s="41">
        <v>13</v>
      </c>
      <c r="AH51" s="41">
        <v>25</v>
      </c>
    </row>
    <row r="52" spans="1:39" ht="13.5" thickBot="1" x14ac:dyDescent="0.25">
      <c r="A52" s="197" t="s">
        <v>231</v>
      </c>
      <c r="F52" s="102"/>
      <c r="J52" s="41"/>
      <c r="K52" s="41"/>
      <c r="L52" s="41"/>
      <c r="M52" s="41"/>
      <c r="N52" s="41"/>
      <c r="O52" s="41"/>
      <c r="P52" s="41"/>
      <c r="Q52" s="109"/>
      <c r="R52" s="41"/>
      <c r="S52" s="41"/>
      <c r="T52" s="41"/>
      <c r="U52" s="41"/>
      <c r="V52" s="41">
        <v>12</v>
      </c>
      <c r="W52" s="109"/>
      <c r="X52" s="41"/>
      <c r="Y52" s="41"/>
      <c r="Z52" s="41"/>
      <c r="AA52" s="41"/>
      <c r="AB52" s="41">
        <v>24</v>
      </c>
      <c r="AH52" s="41">
        <v>36</v>
      </c>
    </row>
    <row r="53" spans="1:39" x14ac:dyDescent="0.2">
      <c r="A53" s="176" t="s">
        <v>285</v>
      </c>
      <c r="B53" s="41">
        <f>'4. T7 LAINAT '!C44</f>
        <v>0</v>
      </c>
      <c r="C53" s="41">
        <f>'4. T7 LAINAT '!D44*12</f>
        <v>0</v>
      </c>
      <c r="D53" s="195">
        <f>'4. T7 LAINAT '!E44</f>
        <v>0</v>
      </c>
      <c r="F53" s="102"/>
      <c r="J53" s="41"/>
      <c r="K53" s="41"/>
      <c r="L53" s="41"/>
      <c r="M53" s="41"/>
      <c r="N53" s="41"/>
      <c r="O53" s="41"/>
      <c r="P53" s="41"/>
      <c r="Q53" s="109"/>
      <c r="R53" s="41"/>
      <c r="S53" s="41"/>
      <c r="T53" s="41"/>
      <c r="U53" s="41"/>
      <c r="V53" s="41" t="e">
        <f>'4. T7 LAINAT '!#REF!</f>
        <v>#REF!</v>
      </c>
      <c r="W53" s="109"/>
      <c r="X53" s="181">
        <f>IF($D53=0,0,IF(V53=0,0,-CUMPRINC($D53/12,$C53,$B53,V54,V55,0)))</f>
        <v>0</v>
      </c>
      <c r="Y53" s="181"/>
      <c r="Z53" s="181" t="e">
        <f>V53-X53</f>
        <v>#REF!</v>
      </c>
      <c r="AA53" s="181">
        <f>IF($D53=0,0,IF($V53=0,0,-CUMIPMT($D53/12,$C53,$B53,V54,V55,0)))</f>
        <v>0</v>
      </c>
      <c r="AB53" s="181">
        <f>'4. T7 LAINAT '!O44</f>
        <v>0</v>
      </c>
      <c r="AC53" s="181"/>
      <c r="AD53" s="271">
        <f>IF($C53&lt;AB54,0,IF($D53=0,0,-CUMPRINC($D53/12,$C53,$B53,AB54,AB55,0)))</f>
        <v>0</v>
      </c>
      <c r="AE53" s="181"/>
      <c r="AF53" s="181">
        <f>AB53-AD53</f>
        <v>0</v>
      </c>
      <c r="AG53" s="275">
        <f>IF($C53&lt;AB54,0,IF($D53=0,0,-CUMIPMT($D53/12,$C53,$B53,AB54,AB55,0)))</f>
        <v>0</v>
      </c>
      <c r="AH53" s="181"/>
      <c r="AI53" s="181"/>
      <c r="AJ53" s="271">
        <f>IF($C53&lt;AH54,0,IF($D53=0,0,-CUMPRINC($D53/12,$C53,$B53,AH54,AH55,0)))</f>
        <v>0</v>
      </c>
      <c r="AK53" s="181"/>
      <c r="AL53" s="181">
        <f>AF53-AJ53</f>
        <v>0</v>
      </c>
      <c r="AM53" s="275">
        <f>IF($C53&lt;AH54,0,IF($D53=0,0,-CUMIPMT($D53/12,$C53,$B53,AH54,AH55,0)))</f>
        <v>0</v>
      </c>
    </row>
    <row r="54" spans="1:39" x14ac:dyDescent="0.2">
      <c r="A54" s="197" t="s">
        <v>230</v>
      </c>
      <c r="F54" s="102"/>
      <c r="J54" s="41"/>
      <c r="K54" s="41"/>
      <c r="L54" s="41"/>
      <c r="M54" s="41"/>
      <c r="N54" s="41"/>
      <c r="O54" s="41"/>
      <c r="P54" s="41"/>
      <c r="Q54" s="109"/>
      <c r="R54" s="41"/>
      <c r="S54" s="41"/>
      <c r="T54" s="41"/>
      <c r="U54" s="41"/>
      <c r="V54" s="41"/>
      <c r="W54" s="109"/>
      <c r="X54" s="41"/>
      <c r="Y54" s="41"/>
      <c r="Z54" s="41"/>
      <c r="AA54" s="41"/>
      <c r="AB54" s="41">
        <v>1</v>
      </c>
      <c r="AH54" s="41">
        <v>13</v>
      </c>
    </row>
    <row r="55" spans="1:39" x14ac:dyDescent="0.2">
      <c r="A55" s="197" t="s">
        <v>231</v>
      </c>
      <c r="F55" s="102"/>
      <c r="J55" s="41"/>
      <c r="K55" s="41"/>
      <c r="L55" s="41"/>
      <c r="M55" s="41"/>
      <c r="N55" s="41"/>
      <c r="O55" s="41"/>
      <c r="P55" s="41"/>
      <c r="Q55" s="109"/>
      <c r="R55" s="41"/>
      <c r="S55" s="41"/>
      <c r="T55" s="41"/>
      <c r="U55" s="41"/>
      <c r="V55" s="41"/>
      <c r="W55" s="109"/>
      <c r="X55" s="41"/>
      <c r="Y55" s="41"/>
      <c r="Z55" s="41"/>
      <c r="AA55" s="41"/>
      <c r="AB55" s="41">
        <v>12</v>
      </c>
      <c r="AH55" s="41">
        <v>24</v>
      </c>
    </row>
    <row r="56" spans="1:39" s="2" customFormat="1" ht="13.5" thickBot="1" x14ac:dyDescent="0.25">
      <c r="A56" s="210" t="s">
        <v>258</v>
      </c>
      <c r="B56" s="211"/>
      <c r="C56" s="212"/>
      <c r="D56" s="211"/>
      <c r="E56" s="211"/>
      <c r="F56" s="213"/>
      <c r="G56" s="211"/>
      <c r="H56" s="211"/>
      <c r="I56" s="211"/>
      <c r="J56" s="308">
        <f>J44+J47+J50+J53</f>
        <v>0</v>
      </c>
      <c r="K56" s="308"/>
      <c r="L56" s="308">
        <f>SUM(L44:L52)</f>
        <v>0</v>
      </c>
      <c r="M56" s="308"/>
      <c r="N56" s="308">
        <f>SUM(N44:N52)</f>
        <v>0</v>
      </c>
      <c r="O56" s="308">
        <f>SUM(O44:O52)</f>
        <v>0</v>
      </c>
      <c r="P56" s="308">
        <f>P44+P47+P50+P53</f>
        <v>0</v>
      </c>
      <c r="Q56" s="308"/>
      <c r="R56" s="308">
        <f>SUM(R44:R52)</f>
        <v>0</v>
      </c>
      <c r="S56" s="308"/>
      <c r="T56" s="308">
        <f>SUM(T44:T52)</f>
        <v>0</v>
      </c>
      <c r="U56" s="308">
        <f>SUM(U44:U52)</f>
        <v>0</v>
      </c>
      <c r="V56" s="308" t="e">
        <f>V44+V47+V50+V53</f>
        <v>#REF!</v>
      </c>
      <c r="W56" s="308"/>
      <c r="X56" s="308">
        <f>SUM(X44:X53)</f>
        <v>0</v>
      </c>
      <c r="Y56" s="308"/>
      <c r="Z56" s="308">
        <f>SUM(Z44:Z52)</f>
        <v>0</v>
      </c>
      <c r="AA56" s="308">
        <f>SUM(AA44:AA52)</f>
        <v>0</v>
      </c>
      <c r="AB56" s="308">
        <f>AB44+AB47+AB50+AB53</f>
        <v>0</v>
      </c>
      <c r="AC56" s="308"/>
      <c r="AD56" s="308">
        <f>AD44+AD47+AD50+AD53</f>
        <v>0</v>
      </c>
      <c r="AE56" s="308"/>
      <c r="AF56" s="308">
        <f>AF44+AF47+AF50+AF53</f>
        <v>0</v>
      </c>
      <c r="AG56" s="308">
        <f>AG44+AG47+AG50+AG53</f>
        <v>0</v>
      </c>
      <c r="AH56" s="308">
        <f>AH44+AH47+AH50+AH53</f>
        <v>0</v>
      </c>
      <c r="AI56" s="308"/>
      <c r="AJ56" s="308">
        <f>AJ44+AJ47+AJ50+AJ53</f>
        <v>0</v>
      </c>
      <c r="AK56" s="308"/>
      <c r="AL56" s="308">
        <f>AL44+AL47+AL50+AL53</f>
        <v>0</v>
      </c>
      <c r="AM56" s="308">
        <f>AM44+AM47+AM50+AM53</f>
        <v>0</v>
      </c>
    </row>
    <row r="57" spans="1:39" s="2" customFormat="1" ht="13.5" thickBot="1" x14ac:dyDescent="0.25">
      <c r="A57" s="176"/>
      <c r="C57" s="301"/>
      <c r="E57" s="2225" t="e">
        <f>E4</f>
        <v>#REF!</v>
      </c>
      <c r="F57" s="2225"/>
      <c r="G57" s="2225"/>
      <c r="H57" s="2225"/>
      <c r="I57" s="2226"/>
      <c r="J57" s="2212">
        <f>J4</f>
        <v>2024</v>
      </c>
      <c r="K57" s="2213"/>
      <c r="L57" s="2213"/>
      <c r="M57" s="2213"/>
      <c r="N57" s="2213"/>
      <c r="O57" s="2214"/>
      <c r="P57" s="2212">
        <f>P4</f>
        <v>2025</v>
      </c>
      <c r="Q57" s="2213"/>
      <c r="R57" s="2213"/>
      <c r="S57" s="2213"/>
      <c r="T57" s="2213"/>
      <c r="U57" s="2214"/>
      <c r="V57" s="2212">
        <f>V4</f>
        <v>2026</v>
      </c>
      <c r="W57" s="2213"/>
      <c r="X57" s="2213"/>
      <c r="Y57" s="2213"/>
      <c r="Z57" s="2213"/>
      <c r="AA57" s="2214"/>
      <c r="AB57" s="2212">
        <f>AB4</f>
        <v>2027</v>
      </c>
      <c r="AC57" s="2213"/>
      <c r="AD57" s="2213"/>
      <c r="AE57" s="2213"/>
      <c r="AF57" s="2213"/>
      <c r="AG57" s="2214"/>
      <c r="AH57" s="2212">
        <f>AH4</f>
        <v>2028</v>
      </c>
      <c r="AI57" s="2213"/>
      <c r="AJ57" s="2213"/>
      <c r="AK57" s="2213"/>
      <c r="AL57" s="2213"/>
      <c r="AM57" s="2214"/>
    </row>
    <row r="58" spans="1:39" s="2" customFormat="1" x14ac:dyDescent="0.2">
      <c r="A58" s="176"/>
      <c r="C58" s="301"/>
      <c r="E58" s="300"/>
      <c r="F58" s="181"/>
      <c r="G58" s="6" t="s">
        <v>125</v>
      </c>
      <c r="H58" s="300"/>
      <c r="I58" s="300"/>
      <c r="J58" s="315"/>
      <c r="K58" s="271"/>
      <c r="L58" s="316" t="s">
        <v>125</v>
      </c>
      <c r="M58" s="317"/>
      <c r="N58" s="317"/>
      <c r="O58" s="275"/>
      <c r="P58" s="315"/>
      <c r="Q58" s="271"/>
      <c r="R58" s="316" t="s">
        <v>125</v>
      </c>
      <c r="S58" s="317"/>
      <c r="T58" s="317"/>
      <c r="U58" s="275"/>
      <c r="V58" s="315"/>
      <c r="W58" s="271"/>
      <c r="X58" s="316" t="s">
        <v>125</v>
      </c>
      <c r="Y58" s="317"/>
      <c r="Z58" s="317"/>
      <c r="AA58" s="275"/>
      <c r="AB58" s="315"/>
      <c r="AC58" s="271"/>
      <c r="AD58" s="316" t="s">
        <v>125</v>
      </c>
      <c r="AE58" s="317"/>
      <c r="AF58" s="317"/>
      <c r="AG58" s="275"/>
      <c r="AH58" s="315"/>
      <c r="AI58" s="271"/>
      <c r="AJ58" s="316" t="s">
        <v>125</v>
      </c>
      <c r="AK58" s="317"/>
      <c r="AL58" s="317"/>
      <c r="AM58" s="275"/>
    </row>
    <row r="59" spans="1:39" s="2" customFormat="1" ht="13.5" thickBot="1" x14ac:dyDescent="0.25">
      <c r="A59" s="176" t="s">
        <v>314</v>
      </c>
      <c r="C59" s="301"/>
      <c r="E59" s="305" t="s">
        <v>129</v>
      </c>
      <c r="F59" s="181"/>
      <c r="G59" s="6" t="s">
        <v>313</v>
      </c>
      <c r="H59" s="95" t="s">
        <v>311</v>
      </c>
      <c r="I59" s="95" t="s">
        <v>312</v>
      </c>
      <c r="J59" s="318"/>
      <c r="K59" s="319"/>
      <c r="L59" s="320" t="s">
        <v>313</v>
      </c>
      <c r="M59" s="321" t="s">
        <v>311</v>
      </c>
      <c r="N59" s="321" t="s">
        <v>312</v>
      </c>
      <c r="O59" s="322"/>
      <c r="P59" s="323" t="s">
        <v>129</v>
      </c>
      <c r="Q59" s="319"/>
      <c r="R59" s="320" t="s">
        <v>313</v>
      </c>
      <c r="S59" s="321" t="s">
        <v>311</v>
      </c>
      <c r="T59" s="321" t="s">
        <v>312</v>
      </c>
      <c r="U59" s="322"/>
      <c r="V59" s="323" t="s">
        <v>129</v>
      </c>
      <c r="W59" s="319"/>
      <c r="X59" s="320" t="s">
        <v>313</v>
      </c>
      <c r="Y59" s="321" t="s">
        <v>311</v>
      </c>
      <c r="Z59" s="321" t="s">
        <v>312</v>
      </c>
      <c r="AA59" s="322"/>
      <c r="AB59" s="323" t="s">
        <v>129</v>
      </c>
      <c r="AC59" s="319"/>
      <c r="AD59" s="320" t="s">
        <v>313</v>
      </c>
      <c r="AE59" s="321" t="s">
        <v>311</v>
      </c>
      <c r="AF59" s="321" t="s">
        <v>312</v>
      </c>
      <c r="AG59" s="322"/>
      <c r="AH59" s="323" t="s">
        <v>129</v>
      </c>
      <c r="AI59" s="319"/>
      <c r="AJ59" s="320" t="s">
        <v>313</v>
      </c>
      <c r="AK59" s="321" t="s">
        <v>311</v>
      </c>
      <c r="AL59" s="321" t="s">
        <v>312</v>
      </c>
      <c r="AM59" s="322"/>
    </row>
    <row r="60" spans="1:39" s="2" customFormat="1" x14ac:dyDescent="0.2">
      <c r="A60" s="176" t="s">
        <v>229</v>
      </c>
      <c r="C60" s="301"/>
      <c r="F60" s="196"/>
      <c r="H60" s="313">
        <f>L40</f>
        <v>0</v>
      </c>
      <c r="I60" s="181">
        <f>B40-H60</f>
        <v>0</v>
      </c>
      <c r="J60" s="312"/>
      <c r="K60" s="313"/>
      <c r="L60" s="313"/>
      <c r="M60" s="313">
        <f>R40</f>
        <v>0</v>
      </c>
      <c r="N60" s="313">
        <f>T40</f>
        <v>0</v>
      </c>
      <c r="O60" s="314"/>
      <c r="P60" s="313"/>
      <c r="Q60" s="313"/>
      <c r="R60" s="313">
        <f>R44</f>
        <v>0</v>
      </c>
      <c r="S60" s="313">
        <f>X40</f>
        <v>0</v>
      </c>
      <c r="T60" s="313">
        <f>Z40</f>
        <v>0</v>
      </c>
      <c r="U60" s="314"/>
      <c r="V60" s="312"/>
      <c r="W60" s="313"/>
      <c r="X60" s="313"/>
      <c r="Y60" s="313">
        <f>AD40</f>
        <v>0</v>
      </c>
      <c r="Z60" s="313">
        <f>AF40</f>
        <v>0</v>
      </c>
      <c r="AA60" s="314"/>
      <c r="AB60" s="312"/>
      <c r="AC60" s="313"/>
      <c r="AD60" s="313"/>
      <c r="AE60" s="313">
        <f>AJ40</f>
        <v>0</v>
      </c>
      <c r="AF60" s="313">
        <f>AL40</f>
        <v>0</v>
      </c>
      <c r="AG60" s="314"/>
      <c r="AH60" s="312"/>
      <c r="AI60" s="313"/>
      <c r="AJ60" s="313"/>
      <c r="AK60" s="313"/>
      <c r="AL60" s="313"/>
      <c r="AM60" s="314"/>
    </row>
    <row r="61" spans="1:39" s="2" customFormat="1" x14ac:dyDescent="0.2">
      <c r="A61" s="176" t="s">
        <v>233</v>
      </c>
      <c r="C61" s="301"/>
      <c r="F61" s="196"/>
      <c r="J61" s="309">
        <f>J44</f>
        <v>0</v>
      </c>
      <c r="K61" s="214"/>
      <c r="L61" s="214">
        <f>L44</f>
        <v>0</v>
      </c>
      <c r="M61" s="214">
        <f>IF(N44&gt;0,R44,0)</f>
        <v>0</v>
      </c>
      <c r="N61" s="214"/>
      <c r="O61" s="310"/>
      <c r="P61" s="214">
        <f>P44</f>
        <v>0</v>
      </c>
      <c r="Q61" s="214"/>
      <c r="R61" s="214">
        <f>IF(P61&gt;0,R44,0)</f>
        <v>0</v>
      </c>
      <c r="S61" s="214">
        <f>IF(N44&gt;0,X44,0)</f>
        <v>0</v>
      </c>
      <c r="T61" s="313">
        <f>Z44</f>
        <v>0</v>
      </c>
      <c r="U61" s="310"/>
      <c r="V61" s="214">
        <f>V44</f>
        <v>0</v>
      </c>
      <c r="W61" s="214"/>
      <c r="X61" s="214">
        <f>IF(V61&gt;0,X44,0)</f>
        <v>0</v>
      </c>
      <c r="Y61" s="214">
        <f>IF(T44&gt;0,AD44,0)</f>
        <v>0</v>
      </c>
      <c r="Z61" s="313">
        <f>AF44</f>
        <v>0</v>
      </c>
      <c r="AA61" s="310"/>
      <c r="AB61" s="214">
        <f>AB44</f>
        <v>0</v>
      </c>
      <c r="AC61" s="214"/>
      <c r="AD61" s="214">
        <f>IF(AB61&gt;0,AD44,0)</f>
        <v>0</v>
      </c>
      <c r="AE61" s="214">
        <f>IF(Z44&gt;0,AJ44,0)</f>
        <v>0</v>
      </c>
      <c r="AF61" s="313">
        <f>AL44</f>
        <v>0</v>
      </c>
      <c r="AG61" s="310"/>
      <c r="AH61" s="214">
        <f>AH44</f>
        <v>0</v>
      </c>
      <c r="AI61" s="214"/>
      <c r="AJ61" s="214">
        <f>IF(AH61&gt;0,AJ44,0)</f>
        <v>0</v>
      </c>
      <c r="AK61" s="214">
        <f>IF(AF44&gt;0,AP44,0)</f>
        <v>0</v>
      </c>
      <c r="AL61" s="313">
        <f>AR44</f>
        <v>0</v>
      </c>
      <c r="AM61" s="310"/>
    </row>
    <row r="62" spans="1:39" s="2" customFormat="1" x14ac:dyDescent="0.2">
      <c r="A62" s="176" t="s">
        <v>234</v>
      </c>
      <c r="C62" s="301"/>
      <c r="F62" s="196"/>
      <c r="J62" s="309"/>
      <c r="K62" s="214"/>
      <c r="L62" s="214"/>
      <c r="M62" s="214">
        <f>IF(N47&gt;0,R47,0)</f>
        <v>0</v>
      </c>
      <c r="N62" s="214"/>
      <c r="O62" s="310"/>
      <c r="P62" s="214">
        <f>P47</f>
        <v>0</v>
      </c>
      <c r="Q62" s="214"/>
      <c r="R62" s="214">
        <f>IF(P62&gt;0,R47,0)</f>
        <v>0</v>
      </c>
      <c r="S62" s="214">
        <f>IF(N47&gt;0,X47,0)</f>
        <v>0</v>
      </c>
      <c r="T62" s="313">
        <f>Z47</f>
        <v>0</v>
      </c>
      <c r="U62" s="310"/>
      <c r="V62" s="214">
        <f>V47</f>
        <v>0</v>
      </c>
      <c r="W62" s="214"/>
      <c r="X62" s="214">
        <f>IF(V62&gt;0,X47,0)</f>
        <v>0</v>
      </c>
      <c r="Y62" s="214">
        <f>IF(T47&gt;0,AD47,0)</f>
        <v>0</v>
      </c>
      <c r="Z62" s="313">
        <f>AF47</f>
        <v>0</v>
      </c>
      <c r="AA62" s="310"/>
      <c r="AB62" s="214">
        <f>AB47</f>
        <v>0</v>
      </c>
      <c r="AC62" s="214"/>
      <c r="AD62" s="214">
        <f>IF(AB62&gt;0,AD47,0)</f>
        <v>0</v>
      </c>
      <c r="AE62" s="214">
        <f>IF(Z47&gt;0,AJ47,0)</f>
        <v>0</v>
      </c>
      <c r="AF62" s="313">
        <f>AL47</f>
        <v>0</v>
      </c>
      <c r="AG62" s="310"/>
      <c r="AH62" s="214">
        <f>AH47</f>
        <v>0</v>
      </c>
      <c r="AI62" s="214"/>
      <c r="AJ62" s="214">
        <f>IF(AH62&gt;0,AJ47,0)</f>
        <v>0</v>
      </c>
      <c r="AK62" s="214">
        <f>IF(AF47&gt;0,AP47,0)</f>
        <v>0</v>
      </c>
      <c r="AL62" s="313">
        <f>AR47</f>
        <v>0</v>
      </c>
      <c r="AM62" s="310"/>
    </row>
    <row r="63" spans="1:39" s="2" customFormat="1" x14ac:dyDescent="0.2">
      <c r="A63" s="176" t="s">
        <v>235</v>
      </c>
      <c r="C63" s="301"/>
      <c r="F63" s="196"/>
      <c r="J63" s="309"/>
      <c r="K63" s="214"/>
      <c r="L63" s="214"/>
      <c r="M63" s="214">
        <f>IF(N50&gt;0,R50,0)</f>
        <v>0</v>
      </c>
      <c r="N63" s="214"/>
      <c r="O63" s="310"/>
      <c r="P63" s="214">
        <f>P50</f>
        <v>0</v>
      </c>
      <c r="Q63" s="214"/>
      <c r="R63" s="214">
        <f>IF(P63&gt;0,R50,0)</f>
        <v>0</v>
      </c>
      <c r="S63" s="214">
        <f>IF(N50&gt;0,X50,0)</f>
        <v>0</v>
      </c>
      <c r="T63" s="313">
        <f>Z50</f>
        <v>0</v>
      </c>
      <c r="U63" s="310"/>
      <c r="V63" s="214">
        <f>V50</f>
        <v>0</v>
      </c>
      <c r="W63" s="214"/>
      <c r="X63" s="214">
        <f>IF(V63&gt;0,X50,0)</f>
        <v>0</v>
      </c>
      <c r="Y63" s="214">
        <f>IF(T50&gt;0,AD50,0)</f>
        <v>0</v>
      </c>
      <c r="Z63" s="313">
        <f>AF50</f>
        <v>0</v>
      </c>
      <c r="AA63" s="310"/>
      <c r="AB63" s="214">
        <f>AB50</f>
        <v>0</v>
      </c>
      <c r="AC63" s="214"/>
      <c r="AD63" s="214">
        <f>IF(AB63&gt;0,AD50,0)</f>
        <v>0</v>
      </c>
      <c r="AE63" s="214">
        <f>IF(Z50&gt;0,AJ50,0)</f>
        <v>0</v>
      </c>
      <c r="AF63" s="313">
        <f>AL50</f>
        <v>0</v>
      </c>
      <c r="AG63" s="310"/>
      <c r="AH63" s="214">
        <f>AH50</f>
        <v>0</v>
      </c>
      <c r="AI63" s="214"/>
      <c r="AJ63" s="214">
        <f>IF(AH63&gt;0,AJ50,0)</f>
        <v>0</v>
      </c>
      <c r="AK63" s="214">
        <f>IF(AF50&gt;0,AP50,0)</f>
        <v>0</v>
      </c>
      <c r="AL63" s="313">
        <f>AR50</f>
        <v>0</v>
      </c>
      <c r="AM63" s="310"/>
    </row>
    <row r="64" spans="1:39" s="2" customFormat="1" x14ac:dyDescent="0.2">
      <c r="A64" s="176" t="s">
        <v>285</v>
      </c>
      <c r="C64" s="301"/>
      <c r="F64" s="196"/>
      <c r="J64" s="309"/>
      <c r="K64" s="214"/>
      <c r="L64" s="214"/>
      <c r="M64" s="214">
        <f>IF(N53&gt;0,R53,0)</f>
        <v>0</v>
      </c>
      <c r="N64" s="214"/>
      <c r="O64" s="310"/>
      <c r="P64" s="214">
        <f>P53</f>
        <v>0</v>
      </c>
      <c r="Q64" s="214"/>
      <c r="R64" s="214">
        <f>IF(P64&gt;0,R53,0)</f>
        <v>0</v>
      </c>
      <c r="S64" s="214">
        <f>IF(N53&gt;0,X53,0)</f>
        <v>0</v>
      </c>
      <c r="T64" s="313" t="e">
        <f>Z53</f>
        <v>#REF!</v>
      </c>
      <c r="U64" s="310"/>
      <c r="V64" s="214" t="e">
        <f>V53</f>
        <v>#REF!</v>
      </c>
      <c r="W64" s="214"/>
      <c r="X64" s="214" t="e">
        <f>IF(V64&gt;0,X53,0)</f>
        <v>#REF!</v>
      </c>
      <c r="Y64" s="214">
        <f>IF(T53&gt;0,AD53,0)</f>
        <v>0</v>
      </c>
      <c r="Z64" s="313">
        <f>AF53</f>
        <v>0</v>
      </c>
      <c r="AA64" s="310"/>
      <c r="AB64" s="214">
        <f>AB53</f>
        <v>0</v>
      </c>
      <c r="AC64" s="214"/>
      <c r="AD64" s="214">
        <f>IF(AB64&gt;0,AD53,0)</f>
        <v>0</v>
      </c>
      <c r="AE64" s="214" t="e">
        <f>IF(Z53&gt;0,AJ53,0)</f>
        <v>#REF!</v>
      </c>
      <c r="AF64" s="313">
        <f>AL53</f>
        <v>0</v>
      </c>
      <c r="AG64" s="310"/>
      <c r="AH64" s="214">
        <f>AH53</f>
        <v>0</v>
      </c>
      <c r="AI64" s="214"/>
      <c r="AJ64" s="214">
        <f>IF(AH64&gt;0,AJ53,0)</f>
        <v>0</v>
      </c>
      <c r="AK64" s="214">
        <f>IF(AF53&gt;0,AP53,0)</f>
        <v>0</v>
      </c>
      <c r="AL64" s="313">
        <f>AR53</f>
        <v>0</v>
      </c>
      <c r="AM64" s="310"/>
    </row>
    <row r="65" spans="1:39" s="2" customFormat="1" x14ac:dyDescent="0.2">
      <c r="A65" s="176"/>
      <c r="C65" s="301"/>
      <c r="F65" s="196"/>
      <c r="J65" s="308">
        <f>SUM(J60:J64)</f>
        <v>0</v>
      </c>
      <c r="K65" s="308"/>
      <c r="L65" s="308">
        <f>SUM(L60:L64)</f>
        <v>0</v>
      </c>
      <c r="M65" s="308">
        <f>SUM(M60:M64)</f>
        <v>0</v>
      </c>
      <c r="N65" s="308">
        <f>SUM(N60:N64)</f>
        <v>0</v>
      </c>
      <c r="O65" s="311"/>
      <c r="P65" s="308">
        <f>SUM(P60:P64)</f>
        <v>0</v>
      </c>
      <c r="Q65" s="308"/>
      <c r="R65" s="308">
        <f>SUM(R60:R64)</f>
        <v>0</v>
      </c>
      <c r="S65" s="308">
        <f>SUM(S60:S64)</f>
        <v>0</v>
      </c>
      <c r="T65" s="308" t="e">
        <f>SUM(T60:T64)</f>
        <v>#REF!</v>
      </c>
      <c r="U65" s="311"/>
      <c r="V65" s="308" t="e">
        <f>SUM(V60:V64)</f>
        <v>#REF!</v>
      </c>
      <c r="W65" s="308"/>
      <c r="X65" s="308" t="e">
        <f>SUM(X60:X64)</f>
        <v>#REF!</v>
      </c>
      <c r="Y65" s="308">
        <f>SUM(Y60:Y64)</f>
        <v>0</v>
      </c>
      <c r="Z65" s="308">
        <f>SUM(Z60:Z64)</f>
        <v>0</v>
      </c>
      <c r="AA65" s="311"/>
      <c r="AB65" s="308">
        <f>SUM(AB60:AB64)</f>
        <v>0</v>
      </c>
      <c r="AC65" s="308"/>
      <c r="AD65" s="308">
        <f>SUM(AD60:AD64)</f>
        <v>0</v>
      </c>
      <c r="AE65" s="308" t="e">
        <f>SUM(AE60:AE64)</f>
        <v>#REF!</v>
      </c>
      <c r="AF65" s="308">
        <f>SUM(AF60:AF64)</f>
        <v>0</v>
      </c>
      <c r="AG65" s="311"/>
      <c r="AH65" s="308">
        <f>SUM(AH60:AH64)</f>
        <v>0</v>
      </c>
      <c r="AI65" s="308"/>
      <c r="AJ65" s="308">
        <f>SUM(AJ60:AJ64)</f>
        <v>0</v>
      </c>
      <c r="AK65" s="214">
        <f>IF(AL54&gt;0,AP54,0)</f>
        <v>0</v>
      </c>
      <c r="AL65" s="308">
        <f>SUM(AL60:AL64)</f>
        <v>0</v>
      </c>
      <c r="AM65" s="311"/>
    </row>
    <row r="66" spans="1:39" s="2" customFormat="1" x14ac:dyDescent="0.2">
      <c r="A66" s="176"/>
      <c r="C66" s="301"/>
      <c r="F66" s="196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</row>
    <row r="67" spans="1:39" s="2" customFormat="1" x14ac:dyDescent="0.2">
      <c r="A67" s="176"/>
      <c r="C67" s="301"/>
      <c r="F67" s="196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</row>
    <row r="68" spans="1:39" s="2" customFormat="1" x14ac:dyDescent="0.2">
      <c r="A68" s="176"/>
      <c r="C68" s="301"/>
      <c r="F68" s="196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</row>
    <row r="69" spans="1:39" s="2" customFormat="1" x14ac:dyDescent="0.2">
      <c r="A69" s="176"/>
      <c r="C69" s="301"/>
      <c r="F69" s="196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</row>
    <row r="70" spans="1:39" s="2" customFormat="1" x14ac:dyDescent="0.2">
      <c r="A70" s="176"/>
      <c r="C70" s="301"/>
      <c r="F70" s="196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</row>
    <row r="71" spans="1:39" x14ac:dyDescent="0.2">
      <c r="B71" s="1" t="s">
        <v>0</v>
      </c>
    </row>
    <row r="72" spans="1:39" ht="15.75" x14ac:dyDescent="0.25">
      <c r="A72" s="25"/>
      <c r="B72" s="27"/>
      <c r="C72"/>
      <c r="D72" s="2215"/>
      <c r="E72" s="2215"/>
      <c r="F72" s="2215"/>
      <c r="G72" s="2215"/>
      <c r="H72" s="2215"/>
      <c r="I72" s="2215"/>
      <c r="J72" s="91"/>
      <c r="K72" s="2215"/>
      <c r="L72" s="2215"/>
      <c r="M72" s="2215"/>
      <c r="N72" s="2215"/>
      <c r="O72" s="91"/>
      <c r="U72" s="1"/>
    </row>
    <row r="73" spans="1:39" s="2" customFormat="1" x14ac:dyDescent="0.2">
      <c r="B73" s="6"/>
      <c r="C73"/>
      <c r="D73"/>
      <c r="E73"/>
      <c r="I73" s="44"/>
      <c r="J73"/>
      <c r="K73"/>
      <c r="O73" s="44"/>
      <c r="U73" s="1234"/>
    </row>
    <row r="74" spans="1:39" s="2" customFormat="1" x14ac:dyDescent="0.2">
      <c r="A74" s="1"/>
      <c r="B74" s="1235"/>
      <c r="C74"/>
      <c r="D74" s="1232"/>
      <c r="E74" s="1232"/>
      <c r="F74" s="1232"/>
      <c r="G74" s="1232"/>
      <c r="H74" s="1232"/>
      <c r="I74" s="1232"/>
      <c r="J74" s="1232"/>
      <c r="K74" s="1232"/>
      <c r="L74" s="1232"/>
      <c r="M74" s="1232"/>
      <c r="N74" s="1232"/>
      <c r="O74" s="1232"/>
      <c r="Q74" s="1232"/>
      <c r="U74" s="1234"/>
    </row>
    <row r="75" spans="1:39" s="2" customFormat="1" x14ac:dyDescent="0.2">
      <c r="A75" s="1"/>
      <c r="B75" s="1236"/>
      <c r="C75"/>
      <c r="D75" s="1232"/>
      <c r="E75" s="1232"/>
      <c r="F75" s="1232"/>
      <c r="G75" s="1232"/>
      <c r="H75" s="1232"/>
      <c r="I75" s="1232"/>
      <c r="J75" s="1232"/>
      <c r="K75" s="1232"/>
      <c r="L75" s="1232"/>
      <c r="M75" s="1232"/>
      <c r="N75" s="1232"/>
      <c r="O75" s="1232"/>
      <c r="Q75" s="1232"/>
      <c r="U75" s="1234"/>
    </row>
    <row r="76" spans="1:39" s="2" customFormat="1" x14ac:dyDescent="0.2">
      <c r="A76" s="176"/>
      <c r="B76" s="1235"/>
      <c r="C76" s="1"/>
      <c r="D76" s="1237"/>
      <c r="E76" s="1237"/>
      <c r="G76" s="1238"/>
      <c r="H76" s="1238"/>
      <c r="J76" s="1237"/>
      <c r="K76" s="1237"/>
      <c r="M76" s="1238"/>
      <c r="N76" s="1238"/>
      <c r="U76" s="1234"/>
    </row>
    <row r="77" spans="1:39" s="2" customFormat="1" x14ac:dyDescent="0.2">
      <c r="A77" s="1"/>
      <c r="B77" s="1236"/>
      <c r="C77" s="42"/>
      <c r="D77" s="41"/>
      <c r="E77" s="41"/>
      <c r="F77" s="109"/>
      <c r="G77" s="109"/>
      <c r="H77" s="109"/>
      <c r="I77" s="1239"/>
      <c r="J77" s="41"/>
      <c r="K77" s="41"/>
      <c r="L77" s="109"/>
      <c r="M77" s="109"/>
      <c r="N77" s="109"/>
      <c r="O77" s="1239"/>
      <c r="P77" s="44"/>
      <c r="Q77" s="1240"/>
      <c r="R77" s="181"/>
      <c r="U77" s="1234"/>
    </row>
    <row r="78" spans="1:39" s="2" customFormat="1" x14ac:dyDescent="0.2">
      <c r="A78" s="1241"/>
      <c r="B78" s="1235"/>
      <c r="C78" s="42"/>
      <c r="D78" s="41"/>
      <c r="E78" s="41"/>
      <c r="F78" s="109"/>
      <c r="G78" s="109"/>
      <c r="H78" s="109"/>
      <c r="I78" s="1239"/>
      <c r="J78" s="41"/>
      <c r="K78" s="41"/>
      <c r="L78" s="109"/>
      <c r="M78" s="109"/>
      <c r="N78" s="109"/>
      <c r="O78" s="1239"/>
      <c r="P78" s="44"/>
      <c r="Q78" s="1240"/>
      <c r="R78" s="181"/>
      <c r="U78" s="1234"/>
    </row>
    <row r="79" spans="1:39" s="2" customFormat="1" x14ac:dyDescent="0.2">
      <c r="A79" s="176"/>
      <c r="B79" s="1235"/>
      <c r="C79" s="42"/>
      <c r="D79" s="41"/>
      <c r="E79" s="41"/>
      <c r="F79" s="109"/>
      <c r="G79" s="109"/>
      <c r="H79" s="109"/>
      <c r="I79" s="1239"/>
      <c r="J79" s="41"/>
      <c r="K79" s="41"/>
      <c r="L79" s="109"/>
      <c r="M79" s="109"/>
      <c r="N79" s="109"/>
      <c r="O79" s="1239"/>
      <c r="P79" s="44"/>
      <c r="Q79" s="1240"/>
      <c r="R79" s="181"/>
    </row>
    <row r="80" spans="1:39" s="2" customFormat="1" ht="22.5" customHeight="1" x14ac:dyDescent="0.2">
      <c r="A80" s="1242"/>
      <c r="B80" s="1243"/>
      <c r="C80" s="42"/>
      <c r="D80" s="41"/>
      <c r="E80" s="41"/>
      <c r="F80" s="109"/>
      <c r="G80" s="109"/>
      <c r="H80" s="109"/>
      <c r="I80" s="1239"/>
      <c r="J80" s="41"/>
      <c r="K80" s="41"/>
      <c r="L80" s="109"/>
      <c r="M80" s="109"/>
      <c r="N80" s="109"/>
      <c r="O80" s="1239"/>
      <c r="P80" s="44"/>
      <c r="Q80" s="1240"/>
      <c r="R80" s="181"/>
    </row>
    <row r="81" spans="1:18" s="2" customFormat="1" ht="13.5" customHeight="1" x14ac:dyDescent="0.2">
      <c r="A81" s="1244"/>
      <c r="B81" s="1245"/>
      <c r="C81" s="42"/>
      <c r="D81" s="41"/>
      <c r="E81" s="41"/>
      <c r="F81" s="109"/>
      <c r="G81" s="109"/>
      <c r="H81" s="109"/>
      <c r="I81" s="1239"/>
      <c r="J81" s="41"/>
      <c r="K81" s="41"/>
      <c r="L81" s="109"/>
      <c r="M81" s="109"/>
      <c r="N81" s="109"/>
      <c r="O81" s="1239"/>
      <c r="P81" s="44"/>
      <c r="Q81" s="1240"/>
      <c r="R81" s="181"/>
    </row>
    <row r="82" spans="1:18" x14ac:dyDescent="0.2">
      <c r="A82" s="1"/>
      <c r="B82" s="1246"/>
      <c r="C82" s="42"/>
      <c r="D82" s="41"/>
      <c r="E82" s="41"/>
      <c r="F82" s="109"/>
      <c r="G82" s="109"/>
      <c r="H82" s="109"/>
      <c r="I82" s="1239"/>
      <c r="J82" s="41"/>
      <c r="K82" s="41"/>
      <c r="L82" s="109"/>
      <c r="M82" s="109"/>
      <c r="N82" s="109"/>
      <c r="O82" s="1239"/>
      <c r="P82" s="44"/>
      <c r="Q82" s="1240"/>
      <c r="R82" s="181"/>
    </row>
    <row r="83" spans="1:18" x14ac:dyDescent="0.2">
      <c r="A83" s="1"/>
      <c r="B83" s="1247"/>
      <c r="C83" s="42"/>
      <c r="D83" s="41"/>
      <c r="E83" s="41"/>
      <c r="F83" s="109"/>
      <c r="G83" s="109"/>
      <c r="H83" s="109"/>
      <c r="I83" s="1239"/>
      <c r="J83" s="41"/>
      <c r="K83" s="41"/>
      <c r="L83" s="109"/>
      <c r="M83" s="109"/>
      <c r="N83" s="109"/>
      <c r="O83" s="1239"/>
      <c r="P83" s="44"/>
      <c r="Q83" s="1240"/>
      <c r="R83" s="181"/>
    </row>
    <row r="84" spans="1:18" s="2" customFormat="1" x14ac:dyDescent="0.2">
      <c r="A84" s="176"/>
      <c r="B84" s="1248"/>
      <c r="C84" s="42"/>
      <c r="D84" s="41"/>
      <c r="E84" s="41"/>
      <c r="F84" s="109"/>
      <c r="G84" s="109"/>
      <c r="H84" s="109"/>
      <c r="I84" s="1239"/>
      <c r="J84" s="41"/>
      <c r="K84" s="41"/>
      <c r="L84" s="109"/>
      <c r="M84" s="109"/>
      <c r="N84" s="109"/>
      <c r="O84" s="1239"/>
      <c r="P84" s="44"/>
      <c r="Q84" s="1240"/>
      <c r="R84" s="181"/>
    </row>
    <row r="85" spans="1:18" x14ac:dyDescent="0.2">
      <c r="A85" s="1"/>
      <c r="B85" s="1247"/>
      <c r="C85" s="42"/>
      <c r="D85" s="41"/>
      <c r="E85" s="41"/>
      <c r="F85" s="109"/>
      <c r="G85" s="109"/>
      <c r="H85" s="109"/>
      <c r="I85" s="1239"/>
      <c r="J85" s="41"/>
      <c r="K85" s="41"/>
      <c r="L85" s="109"/>
      <c r="M85" s="109"/>
      <c r="N85" s="109"/>
      <c r="O85" s="1239"/>
      <c r="P85" s="44"/>
      <c r="Q85" s="1240"/>
      <c r="R85" s="181"/>
    </row>
    <row r="86" spans="1:18" x14ac:dyDescent="0.2">
      <c r="A86" s="1"/>
      <c r="B86" s="1247"/>
      <c r="C86" s="42"/>
      <c r="D86" s="41"/>
      <c r="E86" s="41"/>
      <c r="F86" s="109"/>
      <c r="G86" s="109"/>
      <c r="H86" s="109"/>
      <c r="I86" s="1239"/>
      <c r="J86" s="41"/>
      <c r="K86" s="41"/>
      <c r="L86" s="109"/>
      <c r="M86" s="109"/>
      <c r="N86" s="109"/>
      <c r="O86" s="1239"/>
      <c r="P86" s="44"/>
      <c r="Q86" s="1240"/>
      <c r="R86" s="181"/>
    </row>
    <row r="87" spans="1:18" s="2" customFormat="1" x14ac:dyDescent="0.2">
      <c r="A87" s="176"/>
      <c r="B87" s="1248"/>
      <c r="C87" s="42"/>
      <c r="D87" s="41"/>
      <c r="E87" s="41"/>
      <c r="F87" s="109"/>
      <c r="G87" s="109"/>
      <c r="H87" s="109"/>
      <c r="I87" s="1239"/>
      <c r="J87" s="41"/>
      <c r="K87" s="41"/>
      <c r="L87" s="109"/>
      <c r="M87" s="109"/>
      <c r="N87" s="109"/>
      <c r="O87" s="1239"/>
      <c r="P87" s="44"/>
      <c r="Q87" s="1240"/>
      <c r="R87" s="181"/>
    </row>
    <row r="88" spans="1:18" x14ac:dyDescent="0.2">
      <c r="A88" s="508"/>
      <c r="B88" s="1249"/>
      <c r="C88" s="42"/>
      <c r="D88" s="41"/>
      <c r="E88" s="41"/>
      <c r="F88" s="109"/>
      <c r="G88" s="109"/>
      <c r="H88" s="109"/>
      <c r="I88" s="1239"/>
      <c r="J88" s="41"/>
      <c r="K88" s="41"/>
      <c r="L88" s="109"/>
      <c r="M88" s="109"/>
      <c r="N88" s="109"/>
      <c r="O88" s="1239"/>
      <c r="P88" s="44"/>
      <c r="Q88" s="1240"/>
      <c r="R88" s="181"/>
    </row>
    <row r="89" spans="1:18" x14ac:dyDescent="0.2">
      <c r="A89" s="1"/>
      <c r="B89" s="1250"/>
      <c r="C89" s="42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1:18" s="2" customFormat="1" x14ac:dyDescent="0.2">
      <c r="A90" s="176"/>
      <c r="B90" s="1251"/>
      <c r="C90" s="2013"/>
      <c r="D90" s="2013"/>
      <c r="E90" s="2013"/>
      <c r="F90" s="2013"/>
      <c r="G90" s="2013"/>
      <c r="H90" s="2013"/>
      <c r="I90" s="2227"/>
      <c r="J90" s="2013"/>
      <c r="K90" s="2013"/>
      <c r="L90" s="2013"/>
      <c r="M90" s="2013"/>
      <c r="N90" s="2013"/>
      <c r="O90" s="2227"/>
      <c r="P90"/>
      <c r="Q90"/>
    </row>
    <row r="91" spans="1:18" x14ac:dyDescent="0.2">
      <c r="A91" s="1241"/>
      <c r="B91" s="125"/>
      <c r="C91" s="2014"/>
      <c r="D91" s="2014"/>
      <c r="E91" s="2014"/>
      <c r="F91" s="2014"/>
      <c r="G91" s="2014"/>
      <c r="H91" s="2014"/>
      <c r="I91" s="1660"/>
      <c r="J91" s="2014"/>
      <c r="K91" s="2014"/>
      <c r="L91" s="2014"/>
      <c r="M91" s="2014"/>
      <c r="N91" s="2014"/>
      <c r="O91" s="1660"/>
      <c r="P91" s="2"/>
      <c r="Q91" s="2"/>
    </row>
    <row r="92" spans="1:18" x14ac:dyDescent="0.2">
      <c r="A92" s="144"/>
      <c r="B92" s="125"/>
      <c r="C92" s="2014"/>
      <c r="D92" s="2014"/>
      <c r="E92" s="2014"/>
      <c r="F92" s="2014"/>
      <c r="G92" s="2014"/>
      <c r="H92" s="2014"/>
      <c r="I92" s="1660"/>
      <c r="J92" s="2014"/>
      <c r="K92" s="2014"/>
      <c r="L92" s="2014"/>
      <c r="M92" s="2014"/>
      <c r="N92" s="2014"/>
      <c r="O92" s="1660"/>
    </row>
    <row r="93" spans="1:18" x14ac:dyDescent="0.2">
      <c r="A93" s="117"/>
      <c r="B93" s="125"/>
      <c r="C93" s="126"/>
      <c r="D93" s="126"/>
      <c r="E93" s="126"/>
    </row>
    <row r="94" spans="1:18" s="2" customFormat="1" x14ac:dyDescent="0.2">
      <c r="A94" s="31" t="s">
        <v>486</v>
      </c>
      <c r="B94" s="52">
        <f>'2. &amp; 7. T2 TULOSSUUN. '!I8</f>
        <v>2024</v>
      </c>
      <c r="C94" s="52"/>
      <c r="D94" s="52">
        <f>'2. &amp; 7. T2 TULOSSUUN. '!K8</f>
        <v>2025</v>
      </c>
      <c r="E94" s="52"/>
      <c r="F94" s="52">
        <f>'2. &amp; 7. T2 TULOSSUUN. '!M8</f>
        <v>2026</v>
      </c>
      <c r="G94" s="52"/>
      <c r="H94" s="52">
        <f>'2. &amp; 7. T2 TULOSSUUN. '!O8</f>
        <v>2027</v>
      </c>
      <c r="I94" s="52"/>
      <c r="J94" s="52"/>
    </row>
    <row r="95" spans="1:18" x14ac:dyDescent="0.2">
      <c r="A95" s="4" t="s">
        <v>146</v>
      </c>
      <c r="B95" s="220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04"/>
      <c r="D95" s="220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04"/>
      <c r="F95" s="220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04"/>
      <c r="H95" s="220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04"/>
      <c r="J95" s="2228"/>
      <c r="K95" s="2228"/>
    </row>
    <row r="96" spans="1:18" x14ac:dyDescent="0.2">
      <c r="A96" s="4" t="s">
        <v>489</v>
      </c>
      <c r="B96" s="2203">
        <f>B95*'9. T5 KASSABUDJETTI '!$F$28%</f>
        <v>0</v>
      </c>
      <c r="C96" s="2204"/>
      <c r="D96" s="2203">
        <f>D95*'9. T5 KASSABUDJETTI '!$F$28%</f>
        <v>0</v>
      </c>
      <c r="E96" s="2204"/>
      <c r="F96" s="2203">
        <f>F95*'9. T5 KASSABUDJETTI '!$F$28%</f>
        <v>0</v>
      </c>
      <c r="G96" s="2204"/>
      <c r="H96" s="2203">
        <f>H95*'9. T5 KASSABUDJETTI '!$F$28%</f>
        <v>0</v>
      </c>
      <c r="I96" s="2204"/>
      <c r="J96" s="349"/>
      <c r="K96" s="349"/>
    </row>
    <row r="97" spans="1:19" x14ac:dyDescent="0.2">
      <c r="A97" s="4" t="s">
        <v>147</v>
      </c>
      <c r="B97" s="2223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24"/>
      <c r="D97" s="2223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24"/>
      <c r="F97" s="2223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24"/>
      <c r="H97" s="2223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24"/>
      <c r="J97" s="2202"/>
      <c r="K97" s="2202"/>
    </row>
    <row r="98" spans="1:19" x14ac:dyDescent="0.2">
      <c r="A98" s="1"/>
      <c r="B98" s="124"/>
      <c r="C98" s="41"/>
      <c r="D98" s="41"/>
      <c r="E98" s="41"/>
    </row>
    <row r="99" spans="1:19" x14ac:dyDescent="0.2">
      <c r="A99" s="1"/>
      <c r="B99" s="125"/>
      <c r="C99" s="126"/>
      <c r="D99" s="126"/>
      <c r="E99" s="126"/>
    </row>
    <row r="100" spans="1:19" ht="13.5" thickBot="1" x14ac:dyDescent="0.25">
      <c r="A100" s="1" t="s">
        <v>266</v>
      </c>
      <c r="B100" s="52">
        <f>B94</f>
        <v>2024</v>
      </c>
      <c r="C100" s="52" t="e">
        <f>#REF!</f>
        <v>#REF!</v>
      </c>
      <c r="D100" s="52">
        <f>D94</f>
        <v>2025</v>
      </c>
      <c r="E100" s="52">
        <f>H94</f>
        <v>2027</v>
      </c>
      <c r="F100" s="52">
        <f>J94</f>
        <v>0</v>
      </c>
      <c r="G100" s="52"/>
      <c r="I100" s="35"/>
      <c r="J100" s="36"/>
      <c r="K100" s="36"/>
      <c r="L100" s="24"/>
      <c r="M100" s="36"/>
      <c r="N100" s="12"/>
      <c r="O100" s="36"/>
      <c r="P100" s="12"/>
      <c r="Q100" s="36"/>
    </row>
    <row r="101" spans="1:19" x14ac:dyDescent="0.2">
      <c r="A101" s="201" t="s">
        <v>0</v>
      </c>
      <c r="C101" s="126"/>
      <c r="I101" s="208" t="s">
        <v>249</v>
      </c>
      <c r="J101" s="2207" t="s">
        <v>107</v>
      </c>
      <c r="K101" s="2208"/>
      <c r="L101" s="2207" t="s">
        <v>99</v>
      </c>
      <c r="M101" s="2208"/>
      <c r="N101" s="2207" t="s">
        <v>98</v>
      </c>
      <c r="O101" s="2208"/>
      <c r="P101" s="2207" t="s">
        <v>100</v>
      </c>
      <c r="Q101" s="2208"/>
      <c r="R101" s="2207" t="str">
        <f>AB3</f>
        <v>Ennuste 4</v>
      </c>
      <c r="S101" s="2208"/>
    </row>
    <row r="102" spans="1:19" x14ac:dyDescent="0.2">
      <c r="A102" s="201" t="s">
        <v>253</v>
      </c>
      <c r="C102" s="126">
        <f>'3. T3 TASE '!G14</f>
        <v>0</v>
      </c>
      <c r="D102" s="126">
        <f>'3. T3 TASE '!H14</f>
        <v>0</v>
      </c>
      <c r="E102" s="126">
        <f>'3. T3 TASE '!I14</f>
        <v>0</v>
      </c>
      <c r="F102" s="126">
        <f>'3. T3 TASE '!J14</f>
        <v>0</v>
      </c>
      <c r="I102" s="38"/>
      <c r="J102" s="2205" t="e">
        <f>E4</f>
        <v>#REF!</v>
      </c>
      <c r="K102" s="2206"/>
      <c r="L102" s="2205">
        <f>J4</f>
        <v>2024</v>
      </c>
      <c r="M102" s="2206"/>
      <c r="N102" s="2205">
        <f>P4</f>
        <v>2025</v>
      </c>
      <c r="O102" s="2206"/>
      <c r="P102" s="2205">
        <f>V4</f>
        <v>2026</v>
      </c>
      <c r="Q102" s="2206"/>
      <c r="R102" s="2205">
        <f>AB4</f>
        <v>2027</v>
      </c>
      <c r="S102" s="2206"/>
    </row>
    <row r="103" spans="1:19" x14ac:dyDescent="0.2">
      <c r="A103" s="117" t="s">
        <v>267</v>
      </c>
      <c r="B103" s="125">
        <f>'3. T3 TASE '!G15</f>
        <v>0</v>
      </c>
      <c r="C103" s="126">
        <f>'3. T3 TASE '!H15</f>
        <v>0</v>
      </c>
      <c r="D103" s="126">
        <f>'3. T3 TASE '!I15</f>
        <v>0</v>
      </c>
      <c r="E103" s="126">
        <f>'3. T3 TASE '!J15</f>
        <v>0</v>
      </c>
      <c r="F103" s="126">
        <f>'3. T3 TASE '!K15</f>
        <v>0</v>
      </c>
      <c r="G103" s="41"/>
      <c r="H103" s="41"/>
      <c r="I103" s="207" t="s">
        <v>248</v>
      </c>
      <c r="J103" s="209">
        <f>'5. E1 KUSTANNUKSET '!D43+'5. E1 KUSTANNUKSET '!D61+'5. E1 KUSTANNUKSET '!D67+'5. E1 KUSTANNUKSET '!D113+'5. E1 KUSTANNUKSET '!D114+'5. E1 KUSTANNUKSET '!D115</f>
        <v>0</v>
      </c>
      <c r="K103" s="20"/>
      <c r="L103" s="209">
        <f>'5. E1 KUSTANNUKSET '!F43+'5. E1 KUSTANNUKSET '!F61+'5. E1 KUSTANNUKSET '!F67+'5. E1 KUSTANNUKSET '!F113+'5. E1 KUSTANNUKSET '!F114+'5. E1 KUSTANNUKSET '!F115</f>
        <v>0</v>
      </c>
      <c r="M103" s="20"/>
      <c r="N103" s="209">
        <f>'5. E1 KUSTANNUKSET '!H43+'5. E1 KUSTANNUKSET '!H61+'5. E1 KUSTANNUKSET '!H67+'5. E1 KUSTANNUKSET '!H113+'5. E1 KUSTANNUKSET '!H114+'5. E1 KUSTANNUKSET '!H115</f>
        <v>0</v>
      </c>
      <c r="O103" s="20"/>
      <c r="P103" s="209">
        <f>'5. E1 KUSTANNUKSET '!J43+'5. E1 KUSTANNUKSET '!J61+'5. E1 KUSTANNUKSET '!J67+'5. E1 KUSTANNUKSET '!J113+'5. E1 KUSTANNUKSET '!J114+'5. E1 KUSTANNUKSET '!J115</f>
        <v>0</v>
      </c>
      <c r="Q103" s="20"/>
      <c r="R103" s="209">
        <f>'5. E1 KUSTANNUKSET '!L43+'5. E1 KUSTANNUKSET '!L61+'5. E1 KUSTANNUKSET '!L67+'5. E1 KUSTANNUKSET '!L113+'5. E1 KUSTANNUKSET '!L114+'5. E1 KUSTANNUKSET '!L115</f>
        <v>0</v>
      </c>
    </row>
    <row r="104" spans="1:19" x14ac:dyDescent="0.2">
      <c r="A104" s="119" t="s">
        <v>268</v>
      </c>
      <c r="B104" s="125">
        <f>'3. T3 TASE '!G16</f>
        <v>0</v>
      </c>
      <c r="C104" s="126">
        <f>'3. T3 TASE '!H16</f>
        <v>0</v>
      </c>
      <c r="D104" s="126">
        <f>'3. T3 TASE '!I16</f>
        <v>0</v>
      </c>
      <c r="E104" s="126">
        <f>'3. T3 TASE '!J16</f>
        <v>0</v>
      </c>
      <c r="F104" s="126">
        <f>'3. T3 TASE '!K16</f>
        <v>0</v>
      </c>
      <c r="G104" s="126"/>
      <c r="H104" s="126"/>
      <c r="I104" s="38" t="s">
        <v>265</v>
      </c>
      <c r="J104" s="36"/>
      <c r="K104" s="36"/>
      <c r="L104" s="501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501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501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501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501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501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501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 x14ac:dyDescent="0.2">
      <c r="A105" s="117" t="s">
        <v>269</v>
      </c>
      <c r="B105" s="125">
        <f>'3. T3 TASE '!G17</f>
        <v>0</v>
      </c>
      <c r="C105" s="126">
        <f>'3. T3 TASE '!H17</f>
        <v>0</v>
      </c>
      <c r="D105" s="126">
        <f>'3. T3 TASE '!I17</f>
        <v>0</v>
      </c>
      <c r="E105" s="126">
        <f>'3. T3 TASE '!J17</f>
        <v>0</v>
      </c>
      <c r="F105" s="126">
        <f>'3. T3 TASE '!K17</f>
        <v>0</v>
      </c>
      <c r="I105" s="35"/>
      <c r="J105" s="20"/>
      <c r="K105" s="20"/>
      <c r="L105" s="11"/>
      <c r="M105" s="20"/>
      <c r="N105" s="11"/>
      <c r="O105" s="20"/>
      <c r="P105" s="11"/>
      <c r="Q105" s="20"/>
    </row>
    <row r="106" spans="1:19" x14ac:dyDescent="0.2">
      <c r="A106" s="117" t="str">
        <f>'3. T3 TASE '!C18</f>
        <v xml:space="preserve">Aineelliset hyödykkeet </v>
      </c>
      <c r="B106" s="125">
        <f>'3. T3 TASE '!G18</f>
        <v>0</v>
      </c>
      <c r="C106" s="126">
        <f>'3. T3 TASE '!H18</f>
        <v>0</v>
      </c>
      <c r="D106" s="126">
        <f>'3. T3 TASE '!I18</f>
        <v>0</v>
      </c>
      <c r="E106" s="126">
        <f>'3. T3 TASE '!J18</f>
        <v>0</v>
      </c>
      <c r="F106" s="126">
        <f>'3. T3 TASE '!K18</f>
        <v>0</v>
      </c>
    </row>
    <row r="107" spans="1:19" x14ac:dyDescent="0.2">
      <c r="A107" s="117" t="str">
        <f>'3. T3 TASE '!C19</f>
        <v xml:space="preserve">1. Maa- ja vesialueet </v>
      </c>
      <c r="B107" s="125">
        <f>'3. T3 TASE '!G19</f>
        <v>0</v>
      </c>
      <c r="C107" s="126">
        <f>'3. T3 TASE '!H19</f>
        <v>0</v>
      </c>
      <c r="D107" s="126">
        <f>'3. T3 TASE '!I19</f>
        <v>0</v>
      </c>
      <c r="E107" s="126">
        <f>'3. T3 TASE '!J19</f>
        <v>0</v>
      </c>
      <c r="F107" s="126">
        <f>'3. T3 TASE '!K19</f>
        <v>0</v>
      </c>
    </row>
    <row r="108" spans="1:19" s="2" customFormat="1" x14ac:dyDescent="0.2">
      <c r="A108" s="117" t="str">
        <f>'3. T3 TASE '!C20</f>
        <v xml:space="preserve">    - lisäykset tilikaudella</v>
      </c>
      <c r="B108" s="125">
        <f>'3. T3 TASE '!G20</f>
        <v>0</v>
      </c>
      <c r="C108" s="126">
        <f>'3. T3 TASE '!H20</f>
        <v>0</v>
      </c>
      <c r="D108" s="126">
        <f>'3. T3 TASE '!I20</f>
        <v>0</v>
      </c>
      <c r="E108" s="126">
        <f>'3. T3 TASE '!J20</f>
        <v>0</v>
      </c>
      <c r="F108" s="126">
        <f>'3. T3 TASE '!K20</f>
        <v>0</v>
      </c>
    </row>
    <row r="109" spans="1:19" x14ac:dyDescent="0.2">
      <c r="A109" s="117" t="str">
        <f>'3. T3 TASE '!C21</f>
        <v xml:space="preserve">    - vähennykset tilikaudella/tasapoisto</v>
      </c>
      <c r="B109" s="125">
        <f>'3. T3 TASE '!G21</f>
        <v>0</v>
      </c>
      <c r="C109" s="126">
        <f>'3. T3 TASE '!H21</f>
        <v>0</v>
      </c>
      <c r="D109" s="126">
        <f>'3. T3 TASE '!I21</f>
        <v>0</v>
      </c>
      <c r="E109" s="126">
        <f>'3. T3 TASE '!J21</f>
        <v>0</v>
      </c>
      <c r="F109" s="126">
        <f>'3. T3 TASE '!K21</f>
        <v>0</v>
      </c>
    </row>
    <row r="110" spans="1:19" x14ac:dyDescent="0.2">
      <c r="A110" s="117" t="str">
        <f>'3. T3 TASE '!C22</f>
        <v xml:space="preserve">2. Rakennukset ja rakennelmat </v>
      </c>
      <c r="B110" s="125">
        <f>'3. T3 TASE '!G22</f>
        <v>0</v>
      </c>
      <c r="C110" s="126">
        <f>'3. T3 TASE '!H22</f>
        <v>0</v>
      </c>
      <c r="D110" s="126">
        <f>'3. T3 TASE '!I22</f>
        <v>0</v>
      </c>
      <c r="E110" s="126">
        <f>'3. T3 TASE '!J22</f>
        <v>0</v>
      </c>
      <c r="F110" s="126">
        <f>'3. T3 TASE '!K22</f>
        <v>0</v>
      </c>
    </row>
    <row r="111" spans="1:19" x14ac:dyDescent="0.2">
      <c r="A111" s="117" t="str">
        <f>'3. T3 TASE '!C23</f>
        <v xml:space="preserve">    - lisäykset tilikaudella</v>
      </c>
      <c r="B111" s="125">
        <f>'3. T3 TASE '!G23</f>
        <v>0</v>
      </c>
      <c r="C111" s="126">
        <f>'3. T3 TASE '!H23</f>
        <v>0</v>
      </c>
      <c r="D111" s="126">
        <f>'3. T3 TASE '!I23</f>
        <v>0</v>
      </c>
      <c r="E111" s="126">
        <f>'3. T3 TASE '!J23</f>
        <v>0</v>
      </c>
      <c r="F111" s="126">
        <f>'3. T3 TASE '!K23</f>
        <v>0</v>
      </c>
    </row>
    <row r="112" spans="1:19" x14ac:dyDescent="0.2">
      <c r="A112" s="117" t="str">
        <f>'3. T3 TASE '!C24</f>
        <v xml:space="preserve">    - vähennykset tilikaudella/tasapoisto</v>
      </c>
      <c r="B112" s="125">
        <f>'3. T3 TASE '!G24</f>
        <v>0</v>
      </c>
      <c r="C112" s="126">
        <f>'3. T3 TASE '!H24</f>
        <v>0</v>
      </c>
      <c r="D112" s="126">
        <f>'3. T3 TASE '!I24</f>
        <v>0</v>
      </c>
      <c r="E112" s="126">
        <f>'3. T3 TASE '!J24</f>
        <v>0</v>
      </c>
      <c r="F112" s="126">
        <f>'3. T3 TASE '!K24</f>
        <v>0</v>
      </c>
    </row>
    <row r="113" spans="1:6" x14ac:dyDescent="0.2">
      <c r="A113" s="117" t="str">
        <f>'3. T3 TASE '!C25</f>
        <v xml:space="preserve">    - poistot</v>
      </c>
      <c r="B113" s="125">
        <f>'3. T3 TASE '!G25</f>
        <v>0</v>
      </c>
      <c r="C113" s="126">
        <f>'3. T3 TASE '!H25</f>
        <v>0</v>
      </c>
      <c r="D113" s="126">
        <f>'3. T3 TASE '!I25</f>
        <v>0</v>
      </c>
      <c r="E113" s="126">
        <f>'3. T3 TASE '!J25</f>
        <v>0</v>
      </c>
      <c r="F113" s="126">
        <f>'3. T3 TASE '!K25</f>
        <v>0</v>
      </c>
    </row>
    <row r="114" spans="1:6" x14ac:dyDescent="0.2">
      <c r="A114" s="117" t="str">
        <f>'3. T3 TASE '!C26</f>
        <v xml:space="preserve">3. Koneet ja kalusto </v>
      </c>
      <c r="B114" s="125">
        <f>'3. T3 TASE '!G26</f>
        <v>0</v>
      </c>
      <c r="C114" s="126">
        <f>'3. T3 TASE '!H26</f>
        <v>0</v>
      </c>
      <c r="D114" s="126">
        <f>'3. T3 TASE '!I26</f>
        <v>0</v>
      </c>
      <c r="E114" s="126">
        <f>'3. T3 TASE '!J26</f>
        <v>0</v>
      </c>
      <c r="F114" s="126">
        <f>'3. T3 TASE '!K26</f>
        <v>0</v>
      </c>
    </row>
    <row r="115" spans="1:6" x14ac:dyDescent="0.2">
      <c r="A115" s="117" t="str">
        <f>'3. T3 TASE '!C27</f>
        <v xml:space="preserve">    - lisäykset tilikaudella</v>
      </c>
      <c r="B115" s="125">
        <f>'3. T3 TASE '!G27</f>
        <v>0</v>
      </c>
      <c r="C115" s="126">
        <f>'3. T3 TASE '!H27</f>
        <v>0</v>
      </c>
      <c r="D115" s="126">
        <f>'3. T3 TASE '!I27</f>
        <v>0</v>
      </c>
      <c r="E115" s="126">
        <f>'3. T3 TASE '!J27</f>
        <v>0</v>
      </c>
      <c r="F115" s="126">
        <f>'3. T3 TASE '!K27</f>
        <v>0</v>
      </c>
    </row>
    <row r="116" spans="1:6" x14ac:dyDescent="0.2">
      <c r="A116" s="117" t="str">
        <f>'3. T3 TASE '!C28</f>
        <v xml:space="preserve">    - vähennykset tilikaudella/tasapoisto</v>
      </c>
      <c r="B116" s="125">
        <f>'3. T3 TASE '!G28</f>
        <v>0</v>
      </c>
      <c r="C116" s="126">
        <f>'3. T3 TASE '!H28</f>
        <v>0</v>
      </c>
      <c r="D116" s="126">
        <f>'3. T3 TASE '!I28</f>
        <v>0</v>
      </c>
      <c r="E116" s="126">
        <f>'3. T3 TASE '!J28</f>
        <v>0</v>
      </c>
      <c r="F116" s="126">
        <f>'3. T3 TASE '!K28</f>
        <v>0</v>
      </c>
    </row>
    <row r="117" spans="1:6" x14ac:dyDescent="0.2">
      <c r="A117" s="117" t="str">
        <f>'3. T3 TASE '!C29</f>
        <v xml:space="preserve">    - poistot</v>
      </c>
      <c r="B117" s="125">
        <f>'3. T3 TASE '!G29</f>
        <v>0</v>
      </c>
      <c r="C117" s="126">
        <f>'3. T3 TASE '!H29</f>
        <v>0</v>
      </c>
      <c r="D117" s="126">
        <f>'3. T3 TASE '!I29</f>
        <v>0</v>
      </c>
      <c r="E117" s="126">
        <f>'3. T3 TASE '!J29</f>
        <v>0</v>
      </c>
      <c r="F117" s="126">
        <f>'3. T3 TASE '!K29</f>
        <v>0</v>
      </c>
    </row>
    <row r="118" spans="1:6" x14ac:dyDescent="0.2">
      <c r="A118" s="117" t="str">
        <f>'3. T3 TASE '!C30</f>
        <v xml:space="preserve">4. Muut aineelliset hyödykkeet </v>
      </c>
      <c r="B118" s="125">
        <f>'3. T3 TASE '!G30</f>
        <v>0</v>
      </c>
      <c r="C118" s="126">
        <f>'3. T3 TASE '!H30</f>
        <v>0</v>
      </c>
      <c r="D118" s="126">
        <f>'3. T3 TASE '!I30</f>
        <v>0</v>
      </c>
      <c r="E118" s="126">
        <f>'3. T3 TASE '!J30</f>
        <v>0</v>
      </c>
      <c r="F118" s="126">
        <f>'3. T3 TASE '!K30</f>
        <v>0</v>
      </c>
    </row>
    <row r="119" spans="1:6" x14ac:dyDescent="0.2">
      <c r="A119" s="117" t="str">
        <f>'3. T3 TASE '!C31</f>
        <v xml:space="preserve"> - lisäykset tilikaudella</v>
      </c>
      <c r="B119" s="125">
        <f>'3. T3 TASE '!G31</f>
        <v>0</v>
      </c>
      <c r="C119" s="126">
        <f>'3. T3 TASE '!H31</f>
        <v>0</v>
      </c>
      <c r="D119" s="126">
        <f>'3. T3 TASE '!I31</f>
        <v>0</v>
      </c>
      <c r="E119" s="126">
        <f>'3. T3 TASE '!J31</f>
        <v>0</v>
      </c>
      <c r="F119" s="126">
        <f>'3. T3 TASE '!K31</f>
        <v>0</v>
      </c>
    </row>
    <row r="120" spans="1:6" x14ac:dyDescent="0.2">
      <c r="A120" s="117" t="str">
        <f>'3. T3 TASE '!C32</f>
        <v xml:space="preserve"> - vähennykset tilikaudella/tasapoisto</v>
      </c>
      <c r="B120" s="125">
        <f>'3. T3 TASE '!G32</f>
        <v>0</v>
      </c>
      <c r="C120" s="126">
        <f>'3. T3 TASE '!H32</f>
        <v>0</v>
      </c>
      <c r="D120" s="126">
        <f>'3. T3 TASE '!I32</f>
        <v>0</v>
      </c>
      <c r="E120" s="126">
        <f>'3. T3 TASE '!J32</f>
        <v>0</v>
      </c>
      <c r="F120" s="126">
        <f>'3. T3 TASE '!K32</f>
        <v>0</v>
      </c>
    </row>
    <row r="121" spans="1:6" x14ac:dyDescent="0.2">
      <c r="A121" s="117" t="str">
        <f>'3. T3 TASE '!C33</f>
        <v xml:space="preserve"> - poistot</v>
      </c>
      <c r="B121" s="125">
        <f>'3. T3 TASE '!G33</f>
        <v>0</v>
      </c>
      <c r="C121" s="126">
        <f>'3. T3 TASE '!H33</f>
        <v>0</v>
      </c>
      <c r="D121" s="126">
        <f>'3. T3 TASE '!I33</f>
        <v>0</v>
      </c>
      <c r="E121" s="126">
        <f>'3. T3 TASE '!J33</f>
        <v>0</v>
      </c>
      <c r="F121" s="126">
        <f>'3. T3 TASE '!K33</f>
        <v>0</v>
      </c>
    </row>
    <row r="122" spans="1:6" x14ac:dyDescent="0.2">
      <c r="A122" s="117" t="str">
        <f>'3. T3 TASE '!C34</f>
        <v>Sijoitukset</v>
      </c>
      <c r="B122" s="125">
        <f>'3. T3 TASE '!G34</f>
        <v>0</v>
      </c>
      <c r="C122" s="126">
        <f>'3. T3 TASE '!H34</f>
        <v>0</v>
      </c>
      <c r="D122" s="126">
        <f>'3. T3 TASE '!I34</f>
        <v>0</v>
      </c>
      <c r="E122" s="126">
        <f>'3. T3 TASE '!J34</f>
        <v>0</v>
      </c>
      <c r="F122" s="126">
        <f>'3. T3 TASE '!K34</f>
        <v>0</v>
      </c>
    </row>
    <row r="123" spans="1:6" x14ac:dyDescent="0.2">
      <c r="A123" s="115" t="s">
        <v>271</v>
      </c>
      <c r="B123" s="129"/>
      <c r="C123" s="129">
        <f t="shared" ref="C123:E124" si="28">C103+C108+C111+C115+C119</f>
        <v>0</v>
      </c>
      <c r="D123" s="129">
        <f t="shared" si="28"/>
        <v>0</v>
      </c>
      <c r="E123" s="129">
        <f t="shared" si="28"/>
        <v>0</v>
      </c>
      <c r="F123" s="129">
        <f>F103+F108+F111+F115+F119</f>
        <v>0</v>
      </c>
    </row>
    <row r="124" spans="1:6" x14ac:dyDescent="0.2">
      <c r="A124" s="2" t="s">
        <v>272</v>
      </c>
      <c r="C124" s="129">
        <f t="shared" si="28"/>
        <v>0</v>
      </c>
      <c r="D124" s="129">
        <f t="shared" si="28"/>
        <v>0</v>
      </c>
      <c r="E124" s="129">
        <f t="shared" si="28"/>
        <v>0</v>
      </c>
      <c r="F124" s="129">
        <f>F104+F109+F112+F116+F120</f>
        <v>0</v>
      </c>
    </row>
    <row r="125" spans="1:6" x14ac:dyDescent="0.2">
      <c r="A125" s="120" t="s">
        <v>273</v>
      </c>
      <c r="B125" s="129"/>
      <c r="C125" s="129">
        <f>C105+C113+C117+C121</f>
        <v>0</v>
      </c>
      <c r="D125" s="129">
        <f>D105+D113+D117+D121</f>
        <v>0</v>
      </c>
      <c r="E125" s="129">
        <f>E105+E113+E117+E121</f>
        <v>0</v>
      </c>
      <c r="F125" s="129">
        <f>F105+F113+F117+F121</f>
        <v>0</v>
      </c>
    </row>
    <row r="126" spans="1:6" x14ac:dyDescent="0.2">
      <c r="A126" s="115"/>
    </row>
    <row r="127" spans="1:6" s="2" customFormat="1" x14ac:dyDescent="0.2">
      <c r="A127" s="115" t="s">
        <v>270</v>
      </c>
      <c r="B127" s="126">
        <f>'3. T3 TASE '!G56</f>
        <v>0</v>
      </c>
      <c r="C127" s="130">
        <f>B127+C128-C129</f>
        <v>0</v>
      </c>
      <c r="D127" s="130">
        <f>C127+D128-D129</f>
        <v>0</v>
      </c>
      <c r="E127" s="130">
        <f>D127+E128-E129</f>
        <v>0</v>
      </c>
    </row>
    <row r="128" spans="1:6" x14ac:dyDescent="0.2">
      <c r="A128" s="116" t="s">
        <v>274</v>
      </c>
      <c r="B128" s="122"/>
      <c r="C128" s="257">
        <f>'2. &amp; 7. T2 TULOSSUUN. '!I31</f>
        <v>0</v>
      </c>
      <c r="D128" s="257">
        <f>'2. &amp; 7. T2 TULOSSUUN. '!K31</f>
        <v>0</v>
      </c>
      <c r="E128" s="257">
        <f>'2. &amp; 7. T2 TULOSSUUN. '!M31</f>
        <v>0</v>
      </c>
    </row>
    <row r="129" spans="1:5" x14ac:dyDescent="0.2">
      <c r="A129" s="2" t="s">
        <v>275</v>
      </c>
      <c r="B129" s="123"/>
      <c r="C129" s="123">
        <f>'8. T4 RAHOITUSSUUN. '!H39</f>
        <v>0</v>
      </c>
      <c r="D129" s="123">
        <f>'8. T4 RAHOITUSSUUN. '!I39</f>
        <v>0</v>
      </c>
      <c r="E129" s="123">
        <f>'8. T4 RAHOITUSSUUN. '!J39</f>
        <v>0</v>
      </c>
    </row>
    <row r="130" spans="1:5" x14ac:dyDescent="0.2">
      <c r="A130" s="2" t="s">
        <v>276</v>
      </c>
      <c r="B130" s="125"/>
      <c r="C130" s="126">
        <f>C103+C108+C111+C115+C119-C104-C109-C112-C116-C120</f>
        <v>0</v>
      </c>
      <c r="D130" s="126">
        <f>D103+D108+D111+D115+D119-D104-D109-D112-D116-D120</f>
        <v>0</v>
      </c>
      <c r="E130" s="126">
        <f>E103+E108+E111+E115+E119-E104-E109-E112-E116-E120</f>
        <v>0</v>
      </c>
    </row>
    <row r="131" spans="1:5" x14ac:dyDescent="0.2">
      <c r="A131" s="1"/>
      <c r="B131" s="125"/>
      <c r="C131" s="125"/>
      <c r="D131" s="125"/>
      <c r="E131" s="125"/>
    </row>
    <row r="132" spans="1:5" x14ac:dyDescent="0.2">
      <c r="A132" s="117"/>
      <c r="C132"/>
    </row>
    <row r="133" spans="1:5" x14ac:dyDescent="0.2">
      <c r="A133" s="117"/>
      <c r="B133" s="126"/>
      <c r="C133" s="126"/>
      <c r="D133" s="126"/>
      <c r="E133" s="126"/>
    </row>
    <row r="134" spans="1:5" x14ac:dyDescent="0.2">
      <c r="A134" s="117"/>
      <c r="B134" s="125"/>
      <c r="C134" s="126"/>
      <c r="D134" s="126"/>
      <c r="E134" s="126"/>
    </row>
    <row r="135" spans="1:5" x14ac:dyDescent="0.2">
      <c r="A135" s="118"/>
      <c r="B135" s="125"/>
      <c r="C135" s="126"/>
      <c r="D135" s="126"/>
      <c r="E135" s="126"/>
    </row>
    <row r="136" spans="1:5" x14ac:dyDescent="0.2">
      <c r="A136" s="117"/>
      <c r="B136" s="125"/>
      <c r="C136" s="126"/>
      <c r="D136" s="126"/>
      <c r="E136" s="126"/>
    </row>
    <row r="137" spans="1:5" s="68" customFormat="1" x14ac:dyDescent="0.2">
      <c r="B137" s="131"/>
      <c r="C137" s="131"/>
      <c r="D137" s="131"/>
      <c r="E137" s="131"/>
    </row>
    <row r="138" spans="1:5" x14ac:dyDescent="0.2">
      <c r="A138" s="116"/>
      <c r="B138" s="122"/>
      <c r="C138" s="122"/>
      <c r="D138" s="122"/>
      <c r="E138" s="122"/>
    </row>
    <row r="139" spans="1:5" x14ac:dyDescent="0.2">
      <c r="A139" s="1"/>
      <c r="B139" s="121"/>
      <c r="C139" s="121"/>
      <c r="D139" s="121"/>
      <c r="E139" s="121"/>
    </row>
    <row r="140" spans="1:5" x14ac:dyDescent="0.2">
      <c r="A140" s="1"/>
      <c r="B140" s="125"/>
      <c r="C140" s="125"/>
      <c r="D140" s="125"/>
      <c r="E140" s="125"/>
    </row>
    <row r="141" spans="1:5" x14ac:dyDescent="0.2">
      <c r="A141" s="1"/>
      <c r="B141" s="125"/>
      <c r="C141" s="125"/>
      <c r="D141" s="125"/>
      <c r="E141" s="125"/>
    </row>
    <row r="142" spans="1:5" x14ac:dyDescent="0.2">
      <c r="A142" s="117"/>
      <c r="C142"/>
    </row>
    <row r="143" spans="1:5" x14ac:dyDescent="0.2">
      <c r="A143" s="117"/>
      <c r="B143" s="126"/>
      <c r="C143" s="126"/>
      <c r="D143" s="126"/>
      <c r="E143" s="126"/>
    </row>
    <row r="144" spans="1:5" x14ac:dyDescent="0.2">
      <c r="A144" s="117"/>
      <c r="B144" s="125"/>
      <c r="C144" s="126"/>
      <c r="D144" s="126"/>
      <c r="E144" s="126"/>
    </row>
    <row r="145" spans="1:5" x14ac:dyDescent="0.2">
      <c r="A145" s="118"/>
      <c r="B145" s="125"/>
      <c r="C145" s="126"/>
      <c r="D145" s="126"/>
      <c r="E145" s="126"/>
    </row>
    <row r="146" spans="1:5" x14ac:dyDescent="0.2">
      <c r="A146" s="117"/>
      <c r="B146" s="125"/>
      <c r="C146" s="126"/>
      <c r="D146" s="126"/>
      <c r="E146" s="126"/>
    </row>
    <row r="147" spans="1:5" x14ac:dyDescent="0.2">
      <c r="A147" s="117"/>
      <c r="B147" s="125"/>
      <c r="C147" s="126"/>
      <c r="D147" s="126"/>
      <c r="E147" s="126"/>
    </row>
    <row r="148" spans="1:5" x14ac:dyDescent="0.2">
      <c r="A148" s="115"/>
      <c r="B148" s="125"/>
      <c r="C148" s="126"/>
      <c r="D148" s="126"/>
      <c r="E148" s="126"/>
    </row>
    <row r="149" spans="1:5" s="2" customFormat="1" x14ac:dyDescent="0.2">
      <c r="B149" s="2222"/>
      <c r="C149" s="2222"/>
      <c r="D149" s="130"/>
      <c r="E149" s="130"/>
    </row>
    <row r="150" spans="1:5" x14ac:dyDescent="0.2">
      <c r="A150" s="116"/>
      <c r="B150" s="122"/>
      <c r="C150" s="122"/>
      <c r="D150" s="122"/>
      <c r="E150" s="122"/>
    </row>
    <row r="151" spans="1:5" x14ac:dyDescent="0.2">
      <c r="A151" s="1"/>
      <c r="B151" s="121"/>
      <c r="C151" s="121"/>
      <c r="D151" s="121"/>
      <c r="E151" s="121"/>
    </row>
    <row r="152" spans="1:5" x14ac:dyDescent="0.2">
      <c r="A152" s="1"/>
      <c r="B152" s="121"/>
      <c r="C152" s="121"/>
      <c r="D152" s="121"/>
      <c r="E152" s="121"/>
    </row>
    <row r="153" spans="1:5" x14ac:dyDescent="0.2">
      <c r="A153" s="1"/>
      <c r="B153" s="127"/>
      <c r="C153" s="127"/>
      <c r="D153" s="127"/>
      <c r="E153" s="127"/>
    </row>
    <row r="154" spans="1:5" x14ac:dyDescent="0.2">
      <c r="A154" s="1"/>
      <c r="B154" s="123"/>
      <c r="C154" s="123"/>
      <c r="D154" s="123"/>
      <c r="E154" s="123"/>
    </row>
    <row r="155" spans="1:5" x14ac:dyDescent="0.2">
      <c r="A155" s="1"/>
      <c r="B155" s="124"/>
      <c r="C155" s="124"/>
      <c r="D155" s="124"/>
      <c r="E155" s="124"/>
    </row>
    <row r="156" spans="1:5" x14ac:dyDescent="0.2">
      <c r="A156" s="1"/>
      <c r="B156" s="124"/>
      <c r="C156" s="124"/>
      <c r="D156" s="124"/>
      <c r="E156" s="124"/>
    </row>
    <row r="157" spans="1:5" x14ac:dyDescent="0.2">
      <c r="A157" s="1"/>
      <c r="B157" s="21"/>
      <c r="C157" s="21"/>
      <c r="D157" s="21"/>
      <c r="E157" s="21"/>
    </row>
    <row r="158" spans="1:5" x14ac:dyDescent="0.2">
      <c r="A158" s="1"/>
      <c r="B158" s="128"/>
      <c r="C158" s="128"/>
      <c r="D158" s="128"/>
      <c r="E158" s="128"/>
    </row>
    <row r="159" spans="1:5" x14ac:dyDescent="0.2">
      <c r="A159" s="2"/>
      <c r="B159" s="129"/>
      <c r="C159" s="129"/>
      <c r="D159" s="129"/>
      <c r="E159" s="129"/>
    </row>
    <row r="160" spans="1:5" x14ac:dyDescent="0.2">
      <c r="A160" s="117"/>
      <c r="C160"/>
    </row>
    <row r="161" spans="1:5" x14ac:dyDescent="0.2">
      <c r="A161" s="117"/>
      <c r="B161" s="125"/>
      <c r="C161" s="125"/>
      <c r="D161" s="125"/>
      <c r="E161" s="125"/>
    </row>
    <row r="162" spans="1:5" x14ac:dyDescent="0.2">
      <c r="A162" s="117"/>
      <c r="B162" s="125"/>
      <c r="C162" s="126"/>
      <c r="D162" s="126"/>
      <c r="E162" s="126"/>
    </row>
    <row r="163" spans="1:5" x14ac:dyDescent="0.2">
      <c r="A163" s="119"/>
      <c r="B163" s="125"/>
      <c r="C163" s="126"/>
      <c r="D163" s="126"/>
      <c r="E163" s="126"/>
    </row>
    <row r="164" spans="1:5" x14ac:dyDescent="0.2">
      <c r="A164" s="120"/>
      <c r="B164" s="129"/>
      <c r="C164" s="129"/>
      <c r="D164" s="129"/>
      <c r="E164" s="129"/>
    </row>
    <row r="165" spans="1:5" x14ac:dyDescent="0.2">
      <c r="A165" s="117"/>
      <c r="B165" s="126"/>
      <c r="C165" s="126"/>
      <c r="D165" s="126"/>
      <c r="E165" s="126"/>
    </row>
    <row r="166" spans="1:5" x14ac:dyDescent="0.2">
      <c r="A166" s="120"/>
      <c r="B166" s="129"/>
      <c r="C166" s="129"/>
      <c r="D166" s="129"/>
      <c r="E166" s="129"/>
    </row>
  </sheetData>
  <sheetProtection algorithmName="SHA-512" hashValue="nMottFNMk/BYAycap74/70LYCAHV7FP6z5lSbuig6Fy0T66+aNqsqteUK9N7+WG9HRHp2J4ZqqCux4fDvxyRGA==" saltValue="gACOXGnDUkg/2C3cUXgZMg==" spinCount="100000" sheet="1" objects="1" scenarios="1" selectLockedCells="1" selectUnlockedCells="1"/>
  <mergeCells count="70"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P4:U4"/>
    <mergeCell ref="V4:AA4"/>
    <mergeCell ref="V57:AA57"/>
    <mergeCell ref="K72:N72"/>
    <mergeCell ref="J57:O57"/>
    <mergeCell ref="J38:O38"/>
    <mergeCell ref="P39:U39"/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78"/>
  <sheetViews>
    <sheetView showGridLines="0" showZeros="0" defaultGridColor="0" colorId="55" zoomScaleNormal="100" workbookViewId="0">
      <selection activeCell="B7" sqref="B7:D7"/>
    </sheetView>
  </sheetViews>
  <sheetFormatPr defaultRowHeight="12.75" x14ac:dyDescent="0.2"/>
  <cols>
    <col min="1" max="1" width="10.5703125" customWidth="1"/>
    <col min="2" max="2" width="3.7109375" style="42" customWidth="1"/>
    <col min="3" max="3" width="45.42578125" customWidth="1"/>
    <col min="4" max="8" width="11" customWidth="1"/>
    <col min="9" max="9" width="5.140625" customWidth="1"/>
    <col min="10" max="10" width="10.7109375" style="42" customWidth="1"/>
    <col min="11" max="11" width="10.7109375" customWidth="1"/>
    <col min="20" max="20" width="7.7109375" customWidth="1"/>
  </cols>
  <sheetData>
    <row r="1" spans="1:20" ht="15" x14ac:dyDescent="0.25">
      <c r="B1" s="85" t="s">
        <v>0</v>
      </c>
      <c r="I1" s="62"/>
    </row>
    <row r="2" spans="1:20" ht="4.5" customHeight="1" x14ac:dyDescent="0.2">
      <c r="A2" t="s">
        <v>524</v>
      </c>
      <c r="E2" s="63" t="s">
        <v>0</v>
      </c>
    </row>
    <row r="3" spans="1:20" ht="14.25" customHeight="1" x14ac:dyDescent="0.25">
      <c r="C3" s="25" t="s">
        <v>103</v>
      </c>
      <c r="E3" s="47" t="s">
        <v>93</v>
      </c>
      <c r="J3" s="1675"/>
      <c r="K3" s="1675"/>
      <c r="N3" s="25" t="s">
        <v>103</v>
      </c>
    </row>
    <row r="4" spans="1:20" ht="14.25" customHeight="1" x14ac:dyDescent="0.2">
      <c r="C4" s="192" t="s">
        <v>0</v>
      </c>
      <c r="E4" s="601">
        <v>0</v>
      </c>
      <c r="F4" s="602"/>
      <c r="G4" s="82"/>
    </row>
    <row r="5" spans="1:20" ht="7.5" customHeight="1" x14ac:dyDescent="0.25">
      <c r="E5" s="1678"/>
      <c r="F5" s="1679"/>
      <c r="G5" s="42"/>
      <c r="H5" s="25"/>
    </row>
    <row r="6" spans="1:20" x14ac:dyDescent="0.2">
      <c r="B6" s="50" t="s">
        <v>703</v>
      </c>
      <c r="C6" s="67"/>
      <c r="D6" s="1556"/>
      <c r="E6" s="527" t="s">
        <v>532</v>
      </c>
      <c r="F6" s="1557"/>
      <c r="G6" s="527"/>
      <c r="H6" s="55"/>
      <c r="I6" s="67"/>
      <c r="J6" s="1425" t="s">
        <v>747</v>
      </c>
      <c r="K6" s="1426"/>
      <c r="L6" s="1426"/>
      <c r="M6" s="1426"/>
      <c r="N6" s="1426"/>
      <c r="O6" s="1426"/>
      <c r="P6" s="1426"/>
      <c r="Q6" s="1426"/>
      <c r="R6" s="1426"/>
      <c r="S6" s="1426"/>
      <c r="T6" s="1427"/>
    </row>
    <row r="7" spans="1:20" s="55" customFormat="1" ht="14.25" customHeight="1" x14ac:dyDescent="0.2">
      <c r="B7" s="1676" t="s">
        <v>0</v>
      </c>
      <c r="C7" s="1676"/>
      <c r="D7" s="1677"/>
      <c r="E7" s="1684">
        <v>0</v>
      </c>
      <c r="F7" s="1684"/>
      <c r="G7" s="1684"/>
      <c r="H7" s="1684"/>
      <c r="J7" s="404"/>
      <c r="K7" s="331"/>
      <c r="L7" s="331"/>
      <c r="M7" s="331"/>
      <c r="N7" s="331"/>
      <c r="O7" s="331"/>
      <c r="P7" s="331"/>
      <c r="Q7" s="331"/>
      <c r="R7" s="331"/>
      <c r="S7" s="331"/>
      <c r="T7" s="495"/>
    </row>
    <row r="8" spans="1:20" x14ac:dyDescent="0.2">
      <c r="B8" s="1558" t="s">
        <v>530</v>
      </c>
      <c r="C8" s="65"/>
      <c r="D8" s="66"/>
      <c r="E8" s="256" t="s">
        <v>533</v>
      </c>
      <c r="F8" s="255"/>
      <c r="G8" s="256"/>
      <c r="H8" s="1555"/>
      <c r="I8" s="68"/>
      <c r="J8" s="404"/>
      <c r="K8" s="331"/>
      <c r="L8" s="331"/>
      <c r="M8" s="331"/>
      <c r="N8" s="331"/>
      <c r="O8" s="331"/>
      <c r="P8" s="331"/>
      <c r="Q8" s="331"/>
      <c r="R8" s="331"/>
      <c r="S8" s="331"/>
      <c r="T8" s="495"/>
    </row>
    <row r="9" spans="1:20" s="55" customFormat="1" ht="14.25" customHeight="1" x14ac:dyDescent="0.2">
      <c r="B9" s="1676">
        <v>0</v>
      </c>
      <c r="C9" s="1676"/>
      <c r="D9" s="1677"/>
      <c r="E9" s="1687"/>
      <c r="F9" s="1687"/>
      <c r="G9" s="1687"/>
      <c r="H9" s="1687"/>
      <c r="I9" s="75"/>
      <c r="J9" s="404"/>
      <c r="K9" s="331"/>
      <c r="L9" s="331"/>
      <c r="M9" s="331"/>
      <c r="N9" s="331"/>
      <c r="O9" s="331"/>
      <c r="P9" s="331"/>
      <c r="Q9" s="331"/>
      <c r="R9" s="331"/>
      <c r="S9" s="331"/>
      <c r="T9" s="495"/>
    </row>
    <row r="10" spans="1:20" s="2" customFormat="1" x14ac:dyDescent="0.2">
      <c r="A10"/>
      <c r="B10" s="1558" t="s">
        <v>531</v>
      </c>
      <c r="C10" s="65"/>
      <c r="D10" s="66"/>
      <c r="E10" s="1688" t="s">
        <v>535</v>
      </c>
      <c r="F10" s="1688"/>
      <c r="G10" s="1688"/>
      <c r="H10" s="1688"/>
      <c r="J10" s="404"/>
      <c r="K10" s="331"/>
      <c r="L10" s="331"/>
      <c r="M10" s="331"/>
      <c r="N10" s="331"/>
      <c r="O10" s="331"/>
      <c r="P10" s="331"/>
      <c r="Q10" s="331"/>
      <c r="R10" s="331"/>
      <c r="S10" s="331"/>
      <c r="T10" s="495"/>
    </row>
    <row r="11" spans="1:20" s="55" customFormat="1" ht="14.25" customHeight="1" x14ac:dyDescent="0.2">
      <c r="B11" s="1690"/>
      <c r="C11" s="1691"/>
      <c r="D11" s="1692"/>
      <c r="E11" s="1687"/>
      <c r="F11" s="1687"/>
      <c r="G11" s="1687"/>
      <c r="H11" s="1687"/>
      <c r="I11" s="76"/>
      <c r="J11" s="404"/>
      <c r="K11" s="331"/>
      <c r="L11" s="331"/>
      <c r="M11" s="331"/>
      <c r="N11" s="331"/>
      <c r="O11" s="331"/>
      <c r="P11" s="331"/>
      <c r="Q11" s="331"/>
      <c r="R11" s="331"/>
      <c r="S11" s="331"/>
      <c r="T11" s="495"/>
    </row>
    <row r="12" spans="1:20" ht="14.25" customHeight="1" x14ac:dyDescent="0.2">
      <c r="B12" s="1691"/>
      <c r="C12" s="1691"/>
      <c r="D12" s="1692"/>
      <c r="E12" s="1688" t="s">
        <v>534</v>
      </c>
      <c r="F12" s="1688"/>
      <c r="G12" s="1688"/>
      <c r="H12" s="1688"/>
      <c r="J12" s="404"/>
      <c r="K12" s="331"/>
      <c r="L12" s="331"/>
      <c r="M12" s="331"/>
      <c r="N12" s="331"/>
      <c r="O12" s="331"/>
      <c r="P12" s="331"/>
      <c r="Q12" s="331"/>
      <c r="R12" s="331"/>
      <c r="S12" s="331"/>
      <c r="T12" s="495"/>
    </row>
    <row r="13" spans="1:20" ht="14.25" customHeight="1" x14ac:dyDescent="0.25">
      <c r="A13" s="55"/>
      <c r="B13" s="1691"/>
      <c r="C13" s="1691"/>
      <c r="D13" s="1692"/>
      <c r="E13" s="1689"/>
      <c r="F13" s="1689"/>
      <c r="G13" s="1689"/>
      <c r="H13" s="1689"/>
      <c r="I13" s="69"/>
      <c r="J13" s="404"/>
      <c r="K13" s="331"/>
      <c r="L13" s="331"/>
      <c r="M13" s="331"/>
      <c r="N13" s="331"/>
      <c r="O13" s="331"/>
      <c r="P13" s="331"/>
      <c r="Q13" s="331"/>
      <c r="R13" s="331"/>
      <c r="S13" s="331"/>
      <c r="T13" s="495"/>
    </row>
    <row r="14" spans="1:20" ht="13.9" customHeight="1" x14ac:dyDescent="0.2">
      <c r="A14" s="2"/>
      <c r="C14" s="254"/>
      <c r="J14" s="404"/>
      <c r="K14" s="331"/>
      <c r="L14" s="331"/>
      <c r="M14" s="331"/>
      <c r="N14" s="331"/>
      <c r="O14" s="331"/>
      <c r="P14" s="331"/>
      <c r="Q14" s="331"/>
      <c r="R14" s="331"/>
      <c r="S14" s="331"/>
      <c r="T14" s="495"/>
    </row>
    <row r="15" spans="1:20" ht="13.15" customHeight="1" x14ac:dyDescent="0.2">
      <c r="B15" s="1680" t="s">
        <v>201</v>
      </c>
      <c r="C15" s="1681"/>
      <c r="D15" s="1559" t="s">
        <v>110</v>
      </c>
      <c r="E15" s="1560" t="s">
        <v>98</v>
      </c>
      <c r="F15" s="1560" t="s">
        <v>100</v>
      </c>
      <c r="G15" s="1560" t="s">
        <v>259</v>
      </c>
      <c r="H15" s="1685" t="s">
        <v>192</v>
      </c>
      <c r="I15" s="64"/>
      <c r="J15" s="1428"/>
      <c r="K15" s="1429"/>
      <c r="L15" s="1429"/>
      <c r="M15" s="1429"/>
      <c r="N15" s="1429"/>
      <c r="O15" s="1429"/>
      <c r="P15" s="1429"/>
      <c r="Q15" s="1429"/>
      <c r="R15" s="1429"/>
      <c r="S15" s="1429"/>
      <c r="T15" s="1430"/>
    </row>
    <row r="16" spans="1:20" ht="13.5" customHeight="1" x14ac:dyDescent="0.2">
      <c r="B16" s="1682"/>
      <c r="C16" s="1683"/>
      <c r="D16" s="1566">
        <v>2024</v>
      </c>
      <c r="E16" s="1567">
        <f>D16+1</f>
        <v>2025</v>
      </c>
      <c r="F16" s="1567">
        <f>E16+1</f>
        <v>2026</v>
      </c>
      <c r="G16" s="1567">
        <f>F16+1</f>
        <v>2027</v>
      </c>
      <c r="H16" s="1686"/>
      <c r="I16" s="64"/>
      <c r="J16" s="1428"/>
      <c r="K16" s="1429"/>
      <c r="L16" s="1429"/>
      <c r="M16" s="1429"/>
      <c r="N16" s="1429"/>
      <c r="O16" s="1429"/>
      <c r="P16" s="1429"/>
      <c r="Q16" s="1429"/>
      <c r="R16" s="1429"/>
      <c r="S16" s="1429"/>
      <c r="T16" s="1430"/>
    </row>
    <row r="17" spans="1:20" ht="13.5" customHeight="1" x14ac:dyDescent="0.2">
      <c r="B17" s="1562" t="s">
        <v>2</v>
      </c>
      <c r="C17" s="189" t="s">
        <v>138</v>
      </c>
      <c r="D17" s="744">
        <v>0</v>
      </c>
      <c r="E17" s="744">
        <v>0</v>
      </c>
      <c r="F17" s="744">
        <v>0</v>
      </c>
      <c r="G17" s="744">
        <v>0</v>
      </c>
      <c r="H17" s="775">
        <f>SUM(D17:G17)</f>
        <v>0</v>
      </c>
      <c r="I17" s="70"/>
      <c r="J17" s="1428"/>
      <c r="K17" s="1429"/>
      <c r="L17" s="1429"/>
      <c r="M17" s="1429"/>
      <c r="N17" s="1429"/>
      <c r="O17" s="1429"/>
      <c r="P17" s="1429"/>
      <c r="Q17" s="1429"/>
      <c r="R17" s="1429"/>
      <c r="S17" s="1429"/>
      <c r="T17" s="1430"/>
    </row>
    <row r="18" spans="1:20" s="4" customFormat="1" ht="13.5" customHeight="1" x14ac:dyDescent="0.2">
      <c r="A18"/>
      <c r="B18" s="1562"/>
      <c r="C18" s="189" t="s">
        <v>209</v>
      </c>
      <c r="D18" s="707"/>
      <c r="E18" s="707" t="s">
        <v>0</v>
      </c>
      <c r="F18" s="707"/>
      <c r="G18" s="707"/>
      <c r="H18" s="1563"/>
      <c r="I18" s="190"/>
      <c r="J18" s="1428"/>
      <c r="K18" s="1429"/>
      <c r="L18" s="1429"/>
      <c r="M18" s="1429"/>
      <c r="N18" s="1429"/>
      <c r="O18" s="1429"/>
      <c r="P18" s="1429"/>
      <c r="Q18" s="1429"/>
      <c r="R18" s="1429"/>
      <c r="S18" s="1429"/>
      <c r="T18" s="1430"/>
    </row>
    <row r="19" spans="1:20" s="4" customFormat="1" ht="13.5" customHeight="1" x14ac:dyDescent="0.2">
      <c r="A19"/>
      <c r="B19" s="1562"/>
      <c r="C19" s="189" t="s">
        <v>200</v>
      </c>
      <c r="D19" s="410">
        <v>0</v>
      </c>
      <c r="E19" s="410">
        <v>0</v>
      </c>
      <c r="F19" s="410">
        <v>0</v>
      </c>
      <c r="G19" s="410">
        <v>0</v>
      </c>
      <c r="H19" s="1563"/>
      <c r="I19" s="190"/>
      <c r="J19" s="1428"/>
      <c r="K19" s="1429"/>
      <c r="L19" s="1429"/>
      <c r="M19" s="1429"/>
      <c r="N19" s="1429"/>
      <c r="O19" s="1429"/>
      <c r="P19" s="1429"/>
      <c r="Q19" s="1429"/>
      <c r="R19" s="1429"/>
      <c r="S19" s="1429"/>
      <c r="T19" s="1430"/>
    </row>
    <row r="20" spans="1:20" ht="13.5" customHeight="1" x14ac:dyDescent="0.2">
      <c r="B20" s="1562" t="s">
        <v>3</v>
      </c>
      <c r="C20" s="1422" t="s">
        <v>492</v>
      </c>
      <c r="D20" s="707">
        <v>0</v>
      </c>
      <c r="E20" s="707">
        <v>0</v>
      </c>
      <c r="F20" s="707">
        <v>0</v>
      </c>
      <c r="G20" s="707">
        <v>0</v>
      </c>
      <c r="H20" s="687">
        <f>SUM(D20:G20)</f>
        <v>0</v>
      </c>
      <c r="I20" s="71"/>
      <c r="J20" s="1428"/>
      <c r="K20" s="1431"/>
      <c r="L20" s="1429"/>
      <c r="M20" s="1429"/>
      <c r="N20" s="1429"/>
      <c r="O20" s="1429"/>
      <c r="P20" s="1429"/>
      <c r="Q20" s="1429"/>
      <c r="R20" s="1429"/>
      <c r="S20" s="1429"/>
      <c r="T20" s="1430"/>
    </row>
    <row r="21" spans="1:20" s="4" customFormat="1" ht="13.5" customHeight="1" x14ac:dyDescent="0.2">
      <c r="A21"/>
      <c r="B21" s="1562"/>
      <c r="C21" s="471" t="s">
        <v>730</v>
      </c>
      <c r="D21" s="582">
        <v>0</v>
      </c>
      <c r="E21" s="582">
        <v>0</v>
      </c>
      <c r="F21" s="582"/>
      <c r="G21" s="582"/>
      <c r="H21" s="1563"/>
      <c r="I21" s="191"/>
      <c r="J21" s="1428"/>
      <c r="K21" s="1431"/>
      <c r="L21" s="1429"/>
      <c r="M21" s="1429"/>
      <c r="N21" s="1429"/>
      <c r="O21" s="1429"/>
      <c r="P21" s="1429"/>
      <c r="Q21" s="1429"/>
      <c r="R21" s="1429"/>
      <c r="S21" s="1429"/>
      <c r="T21" s="1430"/>
    </row>
    <row r="22" spans="1:20" s="4" customFormat="1" ht="13.5" customHeight="1" x14ac:dyDescent="0.2">
      <c r="A22"/>
      <c r="B22" s="1562"/>
      <c r="C22" s="189" t="s">
        <v>202</v>
      </c>
      <c r="D22" s="410">
        <v>0.24</v>
      </c>
      <c r="E22" s="410">
        <v>0.24</v>
      </c>
      <c r="F22" s="410">
        <f>E22</f>
        <v>0.24</v>
      </c>
      <c r="G22" s="410">
        <f>F22</f>
        <v>0.24</v>
      </c>
      <c r="H22" s="1563"/>
      <c r="I22" s="191"/>
      <c r="J22" s="1428"/>
      <c r="K22" s="1431"/>
      <c r="L22" s="1429"/>
      <c r="M22" s="1429"/>
      <c r="N22" s="1429"/>
      <c r="O22" s="1429"/>
      <c r="P22" s="1429"/>
      <c r="Q22" s="1429"/>
      <c r="R22" s="1429"/>
      <c r="S22" s="1429"/>
      <c r="T22" s="1430"/>
    </row>
    <row r="23" spans="1:20" s="4" customFormat="1" ht="13.5" customHeight="1" x14ac:dyDescent="0.2">
      <c r="A23"/>
      <c r="B23" s="1562"/>
      <c r="C23" s="189" t="s">
        <v>200</v>
      </c>
      <c r="D23" s="410">
        <v>0</v>
      </c>
      <c r="E23" s="410">
        <v>0</v>
      </c>
      <c r="F23" s="410">
        <v>0</v>
      </c>
      <c r="G23" s="410">
        <v>0</v>
      </c>
      <c r="H23" s="1563"/>
      <c r="I23" s="191"/>
      <c r="J23" s="1428"/>
      <c r="K23" s="1431"/>
      <c r="L23" s="1429"/>
      <c r="M23" s="1429"/>
      <c r="N23" s="1429"/>
      <c r="O23" s="1429"/>
      <c r="P23" s="1429"/>
      <c r="Q23" s="1429"/>
      <c r="R23" s="1429"/>
      <c r="S23" s="1429"/>
      <c r="T23" s="1430"/>
    </row>
    <row r="24" spans="1:20" ht="13.5" customHeight="1" x14ac:dyDescent="0.2">
      <c r="B24" s="1562" t="s">
        <v>4</v>
      </c>
      <c r="C24" s="386" t="s">
        <v>551</v>
      </c>
      <c r="D24" s="707">
        <v>0</v>
      </c>
      <c r="E24" s="707">
        <v>0</v>
      </c>
      <c r="F24" s="707">
        <v>0</v>
      </c>
      <c r="G24" s="707">
        <v>0</v>
      </c>
      <c r="H24" s="687">
        <f>SUM(D24:G24)</f>
        <v>0</v>
      </c>
      <c r="I24" s="71"/>
      <c r="J24" s="1428"/>
      <c r="K24" s="1431"/>
      <c r="L24" s="1429"/>
      <c r="M24" s="1429"/>
      <c r="N24" s="1429"/>
      <c r="O24" s="1429"/>
      <c r="P24" s="1429"/>
      <c r="Q24" s="1429"/>
      <c r="R24" s="1429"/>
      <c r="S24" s="1429"/>
      <c r="T24" s="1430"/>
    </row>
    <row r="25" spans="1:20" s="4" customFormat="1" ht="13.5" customHeight="1" x14ac:dyDescent="0.2">
      <c r="A25" s="55"/>
      <c r="B25" s="1562"/>
      <c r="C25" s="189" t="s">
        <v>730</v>
      </c>
      <c r="D25" s="582"/>
      <c r="E25" s="582">
        <v>0</v>
      </c>
      <c r="F25" s="582"/>
      <c r="G25" s="582"/>
      <c r="H25" s="1563"/>
      <c r="I25" s="191"/>
      <c r="J25" s="1428"/>
      <c r="K25" s="1431"/>
      <c r="L25" s="1429"/>
      <c r="M25" s="1429"/>
      <c r="N25" s="1429"/>
      <c r="O25" s="1429"/>
      <c r="P25" s="1429"/>
      <c r="Q25" s="1429"/>
      <c r="R25" s="1429"/>
      <c r="S25" s="1429"/>
      <c r="T25" s="1430"/>
    </row>
    <row r="26" spans="1:20" s="4" customFormat="1" ht="13.5" customHeight="1" x14ac:dyDescent="0.2">
      <c r="A26" s="2"/>
      <c r="B26" s="1562"/>
      <c r="C26" s="189" t="s">
        <v>200</v>
      </c>
      <c r="D26" s="410">
        <v>0</v>
      </c>
      <c r="E26" s="410">
        <v>0</v>
      </c>
      <c r="F26" s="410">
        <v>0</v>
      </c>
      <c r="G26" s="410">
        <v>0</v>
      </c>
      <c r="H26" s="1563"/>
      <c r="I26" s="191"/>
      <c r="J26" s="1428"/>
      <c r="K26" s="1431"/>
      <c r="L26" s="1429"/>
      <c r="M26" s="1429"/>
      <c r="N26" s="1429"/>
      <c r="O26" s="1429"/>
      <c r="P26" s="1429"/>
      <c r="Q26" s="1429"/>
      <c r="R26" s="1429"/>
      <c r="S26" s="1429"/>
      <c r="T26" s="1432"/>
    </row>
    <row r="27" spans="1:20" ht="13.15" customHeight="1" x14ac:dyDescent="0.2">
      <c r="B27" s="1562" t="s">
        <v>5</v>
      </c>
      <c r="C27" s="1422" t="s">
        <v>572</v>
      </c>
      <c r="D27" s="707">
        <v>0</v>
      </c>
      <c r="E27" s="707">
        <v>0</v>
      </c>
      <c r="F27" s="707">
        <v>0</v>
      </c>
      <c r="G27" s="707">
        <v>0</v>
      </c>
      <c r="H27" s="687">
        <f>SUM(D27:G27)</f>
        <v>0</v>
      </c>
      <c r="I27" s="71"/>
      <c r="J27" s="1428"/>
      <c r="K27" s="1431"/>
      <c r="L27" s="1429"/>
      <c r="M27" s="1429"/>
      <c r="N27" s="1429"/>
      <c r="O27" s="1429"/>
      <c r="P27" s="1429"/>
      <c r="Q27" s="1429"/>
      <c r="R27" s="1429"/>
      <c r="S27" s="1429"/>
      <c r="T27" s="1430"/>
    </row>
    <row r="28" spans="1:20" s="4" customFormat="1" ht="13.5" customHeight="1" x14ac:dyDescent="0.2">
      <c r="A28"/>
      <c r="B28" s="1562"/>
      <c r="C28" s="189" t="s">
        <v>202</v>
      </c>
      <c r="D28" s="410">
        <v>0.24</v>
      </c>
      <c r="E28" s="410">
        <v>0.24</v>
      </c>
      <c r="F28" s="410">
        <v>0.24</v>
      </c>
      <c r="G28" s="410">
        <v>0.24</v>
      </c>
      <c r="H28" s="1563"/>
      <c r="I28" s="191"/>
      <c r="J28" s="1428"/>
      <c r="K28" s="1431"/>
      <c r="L28" s="1429"/>
      <c r="M28" s="1429"/>
      <c r="N28" s="1429"/>
      <c r="O28" s="1429"/>
      <c r="P28" s="1429"/>
      <c r="Q28" s="1429"/>
      <c r="R28" s="1429"/>
      <c r="S28" s="1429"/>
      <c r="T28" s="1430"/>
    </row>
    <row r="29" spans="1:20" s="4" customFormat="1" ht="13.5" customHeight="1" x14ac:dyDescent="0.2">
      <c r="A29"/>
      <c r="B29" s="1562"/>
      <c r="C29" s="189" t="s">
        <v>200</v>
      </c>
      <c r="D29" s="410">
        <v>0</v>
      </c>
      <c r="E29" s="410">
        <v>0</v>
      </c>
      <c r="F29" s="410">
        <v>0</v>
      </c>
      <c r="G29" s="410">
        <v>0</v>
      </c>
      <c r="H29" s="1563"/>
      <c r="I29" s="191"/>
      <c r="J29" s="1428"/>
      <c r="K29" s="1431"/>
      <c r="L29" s="1429"/>
      <c r="M29" s="1429"/>
      <c r="N29" s="1429"/>
      <c r="O29" s="1429"/>
      <c r="P29" s="1429"/>
      <c r="Q29" s="1429"/>
      <c r="R29" s="1429"/>
      <c r="S29" s="1429"/>
      <c r="T29" s="1430"/>
    </row>
    <row r="30" spans="1:20" ht="13.5" customHeight="1" x14ac:dyDescent="0.2">
      <c r="B30" s="1562" t="s">
        <v>6</v>
      </c>
      <c r="C30" s="1422" t="s">
        <v>550</v>
      </c>
      <c r="D30" s="741">
        <v>0</v>
      </c>
      <c r="E30" s="741">
        <v>0</v>
      </c>
      <c r="F30" s="741">
        <v>0</v>
      </c>
      <c r="G30" s="741">
        <v>0</v>
      </c>
      <c r="H30" s="687">
        <f>SUM(D30:G30)</f>
        <v>0</v>
      </c>
      <c r="I30" s="71"/>
      <c r="J30" s="1428"/>
      <c r="K30" s="1431"/>
      <c r="L30" s="1429"/>
      <c r="M30" s="1429"/>
      <c r="N30" s="1429"/>
      <c r="O30" s="1429"/>
      <c r="P30" s="1429"/>
      <c r="Q30" s="1429"/>
      <c r="R30" s="1429"/>
      <c r="S30" s="1429"/>
      <c r="T30" s="1430"/>
    </row>
    <row r="31" spans="1:20" s="4" customFormat="1" ht="13.5" customHeight="1" x14ac:dyDescent="0.2">
      <c r="A31"/>
      <c r="B31" s="1562"/>
      <c r="C31" s="189" t="s">
        <v>200</v>
      </c>
      <c r="D31" s="742">
        <v>0</v>
      </c>
      <c r="E31" s="742">
        <v>0</v>
      </c>
      <c r="F31" s="742">
        <v>0</v>
      </c>
      <c r="G31" s="742">
        <v>0</v>
      </c>
      <c r="H31" s="1563"/>
      <c r="I31" s="191"/>
      <c r="J31" s="1428"/>
      <c r="K31" s="1431"/>
      <c r="L31" s="1429"/>
      <c r="M31" s="1429"/>
      <c r="N31" s="1429"/>
      <c r="O31" s="1429"/>
      <c r="P31" s="1429"/>
      <c r="Q31" s="1429"/>
      <c r="R31" s="1429"/>
      <c r="S31" s="1429"/>
      <c r="T31" s="1432"/>
    </row>
    <row r="32" spans="1:20" ht="13.5" customHeight="1" x14ac:dyDescent="0.2">
      <c r="B32" s="1562" t="s">
        <v>7</v>
      </c>
      <c r="C32" s="1422" t="s">
        <v>549</v>
      </c>
      <c r="D32" s="741">
        <v>0</v>
      </c>
      <c r="E32" s="741">
        <v>0</v>
      </c>
      <c r="F32" s="741">
        <v>0</v>
      </c>
      <c r="G32" s="741">
        <v>0</v>
      </c>
      <c r="H32" s="687">
        <f>SUM(D32:G32)</f>
        <v>0</v>
      </c>
      <c r="I32" s="71"/>
      <c r="J32" s="1428"/>
      <c r="K32" s="1431"/>
      <c r="L32" s="1429"/>
      <c r="M32" s="1429"/>
      <c r="N32" s="1429"/>
      <c r="O32" s="1429"/>
      <c r="P32" s="1429"/>
      <c r="Q32" s="1429"/>
      <c r="R32" s="1429"/>
      <c r="S32" s="1429"/>
      <c r="T32" s="1430"/>
    </row>
    <row r="33" spans="1:20" s="4" customFormat="1" ht="13.5" customHeight="1" x14ac:dyDescent="0.2">
      <c r="A33"/>
      <c r="B33" s="1562"/>
      <c r="C33" s="189" t="s">
        <v>202</v>
      </c>
      <c r="D33" s="410">
        <v>0.24</v>
      </c>
      <c r="E33" s="410">
        <v>0.24</v>
      </c>
      <c r="F33" s="410">
        <f>E33</f>
        <v>0.24</v>
      </c>
      <c r="G33" s="410">
        <f>F33</f>
        <v>0.24</v>
      </c>
      <c r="H33" s="1563"/>
      <c r="I33" s="191"/>
      <c r="J33" s="1428"/>
      <c r="K33" s="1431"/>
      <c r="L33" s="1429"/>
      <c r="M33" s="1429"/>
      <c r="N33" s="1429"/>
      <c r="O33" s="1429"/>
      <c r="P33" s="1429"/>
      <c r="Q33" s="1429"/>
      <c r="R33" s="1429"/>
      <c r="S33" s="1429"/>
      <c r="T33" s="1430"/>
    </row>
    <row r="34" spans="1:20" s="4" customFormat="1" ht="13.5" customHeight="1" x14ac:dyDescent="0.2">
      <c r="A34"/>
      <c r="B34" s="1562"/>
      <c r="C34" s="189" t="s">
        <v>200</v>
      </c>
      <c r="D34" s="410">
        <v>0</v>
      </c>
      <c r="E34" s="410">
        <v>0</v>
      </c>
      <c r="F34" s="410">
        <v>0</v>
      </c>
      <c r="G34" s="410">
        <v>0</v>
      </c>
      <c r="H34" s="1563"/>
      <c r="I34" s="191"/>
      <c r="J34" s="1428"/>
      <c r="K34" s="1431"/>
      <c r="L34" s="1429"/>
      <c r="M34" s="1429"/>
      <c r="N34" s="1429"/>
      <c r="O34" s="1429"/>
      <c r="P34" s="1429"/>
      <c r="Q34" s="1429"/>
      <c r="R34" s="1429"/>
      <c r="S34" s="1429"/>
      <c r="T34" s="1430"/>
    </row>
    <row r="35" spans="1:20" ht="13.5" customHeight="1" x14ac:dyDescent="0.2">
      <c r="B35" s="1562" t="s">
        <v>8</v>
      </c>
      <c r="C35" s="1422" t="s">
        <v>573</v>
      </c>
      <c r="D35" s="707">
        <v>0</v>
      </c>
      <c r="E35" s="707">
        <v>0</v>
      </c>
      <c r="F35" s="707">
        <v>0</v>
      </c>
      <c r="G35" s="707">
        <v>0</v>
      </c>
      <c r="H35" s="687">
        <f>SUM(D35:G35)</f>
        <v>0</v>
      </c>
      <c r="I35" s="71"/>
      <c r="J35" s="1428"/>
      <c r="K35" s="1431"/>
      <c r="L35" s="1429"/>
      <c r="M35" s="1429"/>
      <c r="N35" s="1429"/>
      <c r="O35" s="1429"/>
      <c r="P35" s="1429"/>
      <c r="Q35" s="1429"/>
      <c r="R35" s="1429"/>
      <c r="S35" s="1429"/>
      <c r="T35" s="1430"/>
    </row>
    <row r="36" spans="1:20" s="4" customFormat="1" ht="13.5" customHeight="1" x14ac:dyDescent="0.2">
      <c r="A36"/>
      <c r="B36" s="1562"/>
      <c r="C36" s="189" t="s">
        <v>202</v>
      </c>
      <c r="D36" s="410">
        <v>0.24</v>
      </c>
      <c r="E36" s="410">
        <v>0.24</v>
      </c>
      <c r="F36" s="410">
        <f>E36</f>
        <v>0.24</v>
      </c>
      <c r="G36" s="410">
        <f>F36</f>
        <v>0.24</v>
      </c>
      <c r="H36" s="1563"/>
      <c r="I36" s="191"/>
      <c r="J36" s="1428"/>
      <c r="K36" s="1431"/>
      <c r="L36" s="1429"/>
      <c r="M36" s="1429"/>
      <c r="N36" s="1429"/>
      <c r="O36" s="1429"/>
      <c r="P36" s="1429"/>
      <c r="Q36" s="1429"/>
      <c r="R36" s="1429"/>
      <c r="S36" s="1429"/>
      <c r="T36" s="1430"/>
    </row>
    <row r="37" spans="1:20" s="4" customFormat="1" ht="13.5" customHeight="1" x14ac:dyDescent="0.2">
      <c r="A37"/>
      <c r="B37" s="1562"/>
      <c r="C37" s="189" t="s">
        <v>200</v>
      </c>
      <c r="D37" s="410">
        <v>0</v>
      </c>
      <c r="E37" s="410">
        <v>0</v>
      </c>
      <c r="F37" s="410">
        <v>0</v>
      </c>
      <c r="G37" s="410">
        <v>0</v>
      </c>
      <c r="H37" s="1563"/>
      <c r="I37" s="191"/>
      <c r="J37" s="1428"/>
      <c r="K37" s="1431"/>
      <c r="L37" s="1429"/>
      <c r="M37" s="1429"/>
      <c r="N37" s="1429"/>
      <c r="O37" s="1429"/>
      <c r="P37" s="1429"/>
      <c r="Q37" s="1429"/>
      <c r="R37" s="1429"/>
      <c r="S37" s="1429"/>
      <c r="T37" s="1430"/>
    </row>
    <row r="38" spans="1:20" s="4" customFormat="1" ht="13.5" customHeight="1" x14ac:dyDescent="0.2">
      <c r="A38"/>
      <c r="B38" s="1562" t="s">
        <v>9</v>
      </c>
      <c r="C38" s="189" t="s">
        <v>210</v>
      </c>
      <c r="D38" s="707">
        <v>0</v>
      </c>
      <c r="E38" s="707">
        <v>0</v>
      </c>
      <c r="F38" s="707">
        <v>0</v>
      </c>
      <c r="G38" s="707">
        <v>0</v>
      </c>
      <c r="H38" s="687">
        <f>SUM(D38:G38)</f>
        <v>0</v>
      </c>
      <c r="I38" s="191"/>
      <c r="J38" s="1428"/>
      <c r="K38" s="1431"/>
      <c r="L38" s="1429"/>
      <c r="M38" s="1429"/>
      <c r="N38" s="1429"/>
      <c r="O38" s="1429"/>
      <c r="P38" s="1429"/>
      <c r="Q38" s="1429"/>
      <c r="R38" s="1429"/>
      <c r="S38" s="1429"/>
      <c r="T38" s="1430"/>
    </row>
    <row r="39" spans="1:20" ht="13.5" customHeight="1" x14ac:dyDescent="0.2">
      <c r="B39" s="1562" t="s">
        <v>10</v>
      </c>
      <c r="C39" s="386" t="s">
        <v>547</v>
      </c>
      <c r="D39" s="707">
        <v>0</v>
      </c>
      <c r="E39" s="707">
        <v>0</v>
      </c>
      <c r="F39" s="707">
        <v>0</v>
      </c>
      <c r="G39" s="707">
        <v>0</v>
      </c>
      <c r="H39" s="687">
        <f>SUM(D39:G39)</f>
        <v>0</v>
      </c>
      <c r="I39" s="71"/>
      <c r="J39" s="1428"/>
      <c r="K39" s="1431"/>
      <c r="L39" s="1429"/>
      <c r="M39" s="1429"/>
      <c r="N39" s="1429"/>
      <c r="O39" s="1429"/>
      <c r="P39" s="1429"/>
      <c r="Q39" s="1429"/>
      <c r="R39" s="1429"/>
      <c r="S39" s="1429"/>
      <c r="T39" s="1430"/>
    </row>
    <row r="40" spans="1:20" ht="13.5" customHeight="1" x14ac:dyDescent="0.2">
      <c r="B40" s="1564" t="s">
        <v>11</v>
      </c>
      <c r="C40" s="1565" t="s">
        <v>546</v>
      </c>
      <c r="D40" s="577">
        <f>D17+D20+D24+D27+D30+D32+D39+D35+D38</f>
        <v>0</v>
      </c>
      <c r="E40" s="577">
        <f>E17+E20+E24+E27+E30+E32+E39+E35+E38</f>
        <v>0</v>
      </c>
      <c r="F40" s="577">
        <f>F17+F20+F24+F27+F30+F32+F39+F35+F38</f>
        <v>0</v>
      </c>
      <c r="G40" s="577">
        <f>G17+G20+G24+G27+G30+G32+G39+G35+G38</f>
        <v>0</v>
      </c>
      <c r="H40" s="577">
        <f>SUM(D40:G40)</f>
        <v>0</v>
      </c>
      <c r="I40" s="71"/>
      <c r="J40" s="1428"/>
      <c r="K40" s="1429"/>
      <c r="L40" s="1429"/>
      <c r="M40" s="1429"/>
      <c r="N40" s="1429"/>
      <c r="O40" s="1429">
        <v>0</v>
      </c>
      <c r="P40" s="1429"/>
      <c r="Q40" s="1429"/>
      <c r="R40" s="1429"/>
      <c r="S40" s="1429"/>
      <c r="T40" s="1430"/>
    </row>
    <row r="41" spans="1:20" ht="13.9" customHeight="1" x14ac:dyDescent="0.2">
      <c r="H41" s="1568"/>
      <c r="J41" s="404"/>
      <c r="K41" s="331"/>
      <c r="L41" s="331"/>
      <c r="M41" s="331"/>
      <c r="N41" s="331"/>
      <c r="O41" s="331">
        <v>0</v>
      </c>
      <c r="P41" s="331"/>
      <c r="Q41" s="331"/>
      <c r="R41" s="331"/>
      <c r="S41" s="331"/>
      <c r="T41" s="495"/>
    </row>
    <row r="42" spans="1:20" ht="13.5" customHeight="1" x14ac:dyDescent="0.2">
      <c r="B42" s="1680" t="s">
        <v>263</v>
      </c>
      <c r="C42" s="1681"/>
      <c r="D42" s="1560" t="str">
        <f>D15</f>
        <v>Ennuste 1</v>
      </c>
      <c r="E42" s="1560" t="s">
        <v>98</v>
      </c>
      <c r="F42" s="1560" t="s">
        <v>100</v>
      </c>
      <c r="G42" s="1569" t="s">
        <v>259</v>
      </c>
      <c r="H42" s="1685" t="s">
        <v>192</v>
      </c>
      <c r="J42" s="404"/>
      <c r="K42" s="331"/>
      <c r="L42" s="331"/>
      <c r="M42" s="331"/>
      <c r="N42" s="331"/>
      <c r="O42" s="331"/>
      <c r="P42" s="331"/>
      <c r="Q42" s="331"/>
      <c r="R42" s="331"/>
      <c r="S42" s="331"/>
      <c r="T42" s="495"/>
    </row>
    <row r="43" spans="1:20" ht="13.5" customHeight="1" x14ac:dyDescent="0.2">
      <c r="B43" s="1682"/>
      <c r="C43" s="1683"/>
      <c r="D43" s="1579">
        <f>D16</f>
        <v>2024</v>
      </c>
      <c r="E43" s="1579">
        <f>E16</f>
        <v>2025</v>
      </c>
      <c r="F43" s="1579">
        <f>F16</f>
        <v>2026</v>
      </c>
      <c r="G43" s="1580">
        <f>G16</f>
        <v>2027</v>
      </c>
      <c r="H43" s="1686"/>
      <c r="J43" s="404"/>
      <c r="K43" s="331"/>
      <c r="L43" s="331"/>
      <c r="M43" s="331"/>
      <c r="N43" s="331"/>
      <c r="O43" s="331"/>
      <c r="P43" s="331"/>
      <c r="Q43" s="331"/>
      <c r="R43" s="331"/>
      <c r="S43" s="331"/>
      <c r="T43" s="495"/>
    </row>
    <row r="44" spans="1:20" ht="13.5" customHeight="1" x14ac:dyDescent="0.2">
      <c r="B44" s="1696" t="s">
        <v>559</v>
      </c>
      <c r="C44" s="1697"/>
      <c r="D44" s="1577"/>
      <c r="E44" s="1577"/>
      <c r="F44" s="1577"/>
      <c r="G44" s="1444"/>
      <c r="H44" s="1578" t="s">
        <v>0</v>
      </c>
      <c r="I44" s="55"/>
      <c r="J44" s="404"/>
      <c r="K44" s="331"/>
      <c r="L44" s="331"/>
      <c r="M44" s="331"/>
      <c r="N44" s="331"/>
      <c r="O44" s="331"/>
      <c r="P44" s="331"/>
      <c r="Q44" s="331"/>
      <c r="R44" s="331"/>
      <c r="S44" s="331"/>
      <c r="T44" s="495"/>
    </row>
    <row r="45" spans="1:20" ht="13.5" customHeight="1" x14ac:dyDescent="0.2">
      <c r="B45" s="751" t="s">
        <v>170</v>
      </c>
      <c r="C45" s="4" t="s">
        <v>545</v>
      </c>
      <c r="D45" s="388"/>
      <c r="E45" s="388"/>
      <c r="F45" s="388"/>
      <c r="G45" s="389"/>
      <c r="H45" s="1570"/>
      <c r="I45" s="55"/>
      <c r="J45" s="404"/>
      <c r="K45" s="331"/>
      <c r="L45" s="331"/>
      <c r="M45" s="331"/>
      <c r="N45" s="331"/>
      <c r="O45" s="331"/>
      <c r="P45" s="331"/>
      <c r="Q45" s="331"/>
      <c r="R45" s="331"/>
      <c r="S45" s="331"/>
      <c r="T45" s="495"/>
    </row>
    <row r="46" spans="1:20" ht="13.5" customHeight="1" x14ac:dyDescent="0.2">
      <c r="B46" s="1571"/>
      <c r="C46" s="471" t="s">
        <v>544</v>
      </c>
      <c r="D46" s="744">
        <v>0</v>
      </c>
      <c r="E46" s="744">
        <v>0</v>
      </c>
      <c r="F46" s="744">
        <v>0</v>
      </c>
      <c r="G46" s="745"/>
      <c r="H46" s="812">
        <f>SUM(D46:G46)</f>
        <v>0</v>
      </c>
      <c r="I46" s="72"/>
      <c r="J46" s="404"/>
      <c r="K46" s="331"/>
      <c r="L46" s="331"/>
      <c r="M46" s="331"/>
      <c r="N46" s="331"/>
      <c r="O46" s="331"/>
      <c r="P46" s="331"/>
      <c r="Q46" s="331"/>
      <c r="R46" s="331"/>
      <c r="S46" s="331"/>
      <c r="T46" s="495"/>
    </row>
    <row r="47" spans="1:20" ht="13.5" customHeight="1" x14ac:dyDescent="0.2">
      <c r="B47" s="1571"/>
      <c r="C47" s="471" t="s">
        <v>543</v>
      </c>
      <c r="D47" s="744">
        <v>0</v>
      </c>
      <c r="E47" s="744">
        <v>0</v>
      </c>
      <c r="F47" s="744">
        <v>0</v>
      </c>
      <c r="G47" s="744">
        <v>0</v>
      </c>
      <c r="H47" s="687">
        <f>SUM(D47:G47)</f>
        <v>0</v>
      </c>
      <c r="I47" s="72"/>
      <c r="J47" s="404"/>
      <c r="K47" s="331"/>
      <c r="L47" s="331"/>
      <c r="M47" s="331"/>
      <c r="N47" s="331"/>
      <c r="O47" s="331"/>
      <c r="P47" s="331"/>
      <c r="Q47" s="331"/>
      <c r="R47" s="331"/>
      <c r="S47" s="331"/>
      <c r="T47" s="495"/>
    </row>
    <row r="48" spans="1:20" ht="13.5" customHeight="1" x14ac:dyDescent="0.2">
      <c r="B48" s="1572" t="s">
        <v>171</v>
      </c>
      <c r="C48" s="391" t="s">
        <v>542</v>
      </c>
      <c r="D48" s="812">
        <f>D60-D59-D58-D55-D54-D53-D50-D49-D46-D47-D56-D57</f>
        <v>0</v>
      </c>
      <c r="E48" s="812">
        <f>E60-E59-E58-E55-E54-E53-E50-E49-E46-E47-E56-E57</f>
        <v>0</v>
      </c>
      <c r="F48" s="812">
        <f>F60-F59-F58-F55-F54-F53-F50-F49-F46-F47-F56-F57</f>
        <v>0</v>
      </c>
      <c r="G48" s="812">
        <f>G60-G59-G58-G55-G54-G53-G50-G49-G46-G47-G56-G57</f>
        <v>0</v>
      </c>
      <c r="H48" s="812">
        <f>SUM(D48:G48)</f>
        <v>0</v>
      </c>
      <c r="I48" s="71"/>
      <c r="J48" s="1433" t="str">
        <f>IF(D48&lt;0,"LISÄÄ LUKU RIVILLE 9 Käyttöpääoman lisäys!",IF(E48&lt;0,"LISÄÄ LUKU RIVILLE 9 Käyttöpääoman lisäys!",IF(F48&lt;0,"LISÄÄ LUKU RIVILLE 9 Käyttöpääoman lisäys!",IF(G48&lt;0,"LISÄÄ LUKU RIVILLE 9 Käyttöpääoman lisäys!",""))))</f>
        <v/>
      </c>
      <c r="K48" s="1100"/>
      <c r="L48" s="1100"/>
      <c r="M48" s="1100"/>
      <c r="N48" s="1100"/>
      <c r="O48" s="1100"/>
      <c r="P48" s="1100"/>
      <c r="Q48" s="1100"/>
      <c r="R48" s="1100"/>
      <c r="S48" s="1100"/>
      <c r="T48" s="1434"/>
    </row>
    <row r="49" spans="2:20" ht="13.5" customHeight="1" x14ac:dyDescent="0.2">
      <c r="B49" s="1572" t="s">
        <v>372</v>
      </c>
      <c r="C49" s="391" t="s">
        <v>541</v>
      </c>
      <c r="D49" s="746">
        <v>0</v>
      </c>
      <c r="E49" s="746">
        <v>0</v>
      </c>
      <c r="F49" s="746">
        <v>0</v>
      </c>
      <c r="G49" s="746">
        <v>0</v>
      </c>
      <c r="H49" s="812">
        <f>SUM(D49:G49)</f>
        <v>0</v>
      </c>
      <c r="I49" s="73"/>
      <c r="J49" s="404"/>
      <c r="K49" s="331"/>
      <c r="L49" s="331"/>
      <c r="M49" s="331"/>
      <c r="N49" s="331"/>
      <c r="O49" s="331"/>
      <c r="P49" s="331"/>
      <c r="Q49" s="331"/>
      <c r="R49" s="331"/>
      <c r="S49" s="331"/>
      <c r="T49" s="495"/>
    </row>
    <row r="50" spans="2:20" ht="13.5" customHeight="1" x14ac:dyDescent="0.2">
      <c r="B50" s="1572" t="s">
        <v>172</v>
      </c>
      <c r="C50" s="392" t="s">
        <v>540</v>
      </c>
      <c r="D50" s="746">
        <v>0</v>
      </c>
      <c r="E50" s="746">
        <v>0</v>
      </c>
      <c r="F50" s="746">
        <v>0</v>
      </c>
      <c r="G50" s="747">
        <v>0</v>
      </c>
      <c r="H50" s="812">
        <f>SUM(D50:G50)</f>
        <v>0</v>
      </c>
      <c r="I50" s="71"/>
      <c r="J50" s="1433" t="str">
        <f>IF(D$50&gt;0,"JOS MYYDÄÄN OMAISUUTTA TAI SIJOITUKSIA, LISÄÄ LUKU T3 TASEEN KOHTAAN VÄHENNYS TILIKAUDELLA!",IF(E50&gt;0,"JOS MYYDÄÄN OMAISUUTTA TAI SIJOITUKSIA, LISÄÄ LUKU T3 TASEEN KOHTAAN VÄHENNYS TILIKAUDELLA!",IF(F50&gt;0,"JOS MYYDÄÄN OMAISUUTTA TAI SIJOITUKSIA, LISÄÄ LUKU T3 TASEEN KOHTAAN VÄHENNYS TILIKAUDELLA!",IF(G50&gt;0,"JOS MYYDÄÄN OMAISUUTTA TAI SIJOITUKSIA, LISÄÄ LUKU T3 TASEEN KOHTAAN VÄHENNYS TILIKAUDELLA!",""))))</f>
        <v/>
      </c>
      <c r="K50" s="157"/>
      <c r="L50" s="1435"/>
      <c r="M50" s="157"/>
      <c r="N50" s="157"/>
      <c r="O50" s="157"/>
      <c r="P50" s="157"/>
      <c r="Q50" s="157"/>
      <c r="R50" s="157"/>
      <c r="S50" s="157"/>
      <c r="T50" s="547"/>
    </row>
    <row r="51" spans="2:20" ht="13.5" customHeight="1" x14ac:dyDescent="0.2">
      <c r="B51" s="1694" t="s">
        <v>94</v>
      </c>
      <c r="C51" s="1695"/>
      <c r="D51" s="748"/>
      <c r="E51" s="748"/>
      <c r="F51" s="748"/>
      <c r="G51" s="749"/>
      <c r="H51" s="1573"/>
      <c r="J51" s="1436" t="s">
        <v>642</v>
      </c>
      <c r="K51" s="1437"/>
      <c r="L51" s="1438" t="s">
        <v>123</v>
      </c>
      <c r="M51" s="1437" t="s">
        <v>477</v>
      </c>
      <c r="N51" s="1437" t="s">
        <v>481</v>
      </c>
      <c r="O51" s="331"/>
      <c r="P51" s="331"/>
      <c r="Q51" s="331"/>
      <c r="R51" s="331"/>
      <c r="S51" s="331"/>
      <c r="T51" s="495"/>
    </row>
    <row r="52" spans="2:20" ht="13.5" customHeight="1" x14ac:dyDescent="0.2">
      <c r="B52" s="751" t="s">
        <v>0</v>
      </c>
      <c r="C52" s="4" t="s">
        <v>124</v>
      </c>
      <c r="D52" s="750"/>
      <c r="E52" s="750"/>
      <c r="F52" s="750"/>
      <c r="G52" s="751"/>
      <c r="H52" s="1574"/>
      <c r="J52" s="1671" t="s">
        <v>476</v>
      </c>
      <c r="K52" s="1671"/>
      <c r="L52" s="1672">
        <v>0</v>
      </c>
      <c r="M52" s="1673">
        <v>0</v>
      </c>
      <c r="N52" s="1674"/>
      <c r="O52" s="1674"/>
      <c r="P52" s="1674"/>
      <c r="Q52" s="1674"/>
      <c r="R52" s="1674"/>
      <c r="S52" s="1674"/>
      <c r="T52" s="1674"/>
    </row>
    <row r="53" spans="2:20" ht="13.5" customHeight="1" x14ac:dyDescent="0.2">
      <c r="B53" s="1571" t="s">
        <v>173</v>
      </c>
      <c r="C53" s="390" t="s">
        <v>193</v>
      </c>
      <c r="D53" s="746">
        <v>0</v>
      </c>
      <c r="E53" s="746">
        <v>0</v>
      </c>
      <c r="F53" s="746">
        <v>0</v>
      </c>
      <c r="G53" s="747">
        <v>0</v>
      </c>
      <c r="H53" s="812">
        <f t="shared" ref="H53:H60" si="0">SUM(D53:G53)</f>
        <v>0</v>
      </c>
      <c r="I53" s="71"/>
      <c r="J53" s="1671"/>
      <c r="K53" s="1671"/>
      <c r="L53" s="1672"/>
      <c r="M53" s="1673"/>
      <c r="N53" s="1674"/>
      <c r="O53" s="1674"/>
      <c r="P53" s="1674"/>
      <c r="Q53" s="1674"/>
      <c r="R53" s="1674"/>
      <c r="S53" s="1674"/>
      <c r="T53" s="1674"/>
    </row>
    <row r="54" spans="2:20" ht="13.5" customHeight="1" x14ac:dyDescent="0.2">
      <c r="B54" s="1572" t="s">
        <v>174</v>
      </c>
      <c r="C54" s="392" t="s">
        <v>354</v>
      </c>
      <c r="D54" s="746">
        <v>0</v>
      </c>
      <c r="E54" s="746">
        <v>0</v>
      </c>
      <c r="F54" s="746">
        <v>0</v>
      </c>
      <c r="G54" s="747">
        <v>0</v>
      </c>
      <c r="H54" s="812">
        <f t="shared" si="0"/>
        <v>0</v>
      </c>
      <c r="I54" s="71"/>
      <c r="J54" s="1671" t="s">
        <v>478</v>
      </c>
      <c r="K54" s="1671"/>
      <c r="L54" s="1672"/>
      <c r="M54" s="1673"/>
      <c r="N54" s="1674"/>
      <c r="O54" s="1674"/>
      <c r="P54" s="1674"/>
      <c r="Q54" s="1674"/>
      <c r="R54" s="1674"/>
      <c r="S54" s="1674"/>
      <c r="T54" s="1674"/>
    </row>
    <row r="55" spans="2:20" ht="13.5" customHeight="1" x14ac:dyDescent="0.2">
      <c r="B55" s="1572" t="s">
        <v>175</v>
      </c>
      <c r="C55" s="392" t="s">
        <v>461</v>
      </c>
      <c r="D55" s="746">
        <v>0</v>
      </c>
      <c r="E55" s="746">
        <v>0</v>
      </c>
      <c r="F55" s="746">
        <v>0</v>
      </c>
      <c r="G55" s="747"/>
      <c r="H55" s="812">
        <f t="shared" si="0"/>
        <v>0</v>
      </c>
      <c r="I55" s="74"/>
      <c r="J55" s="1671"/>
      <c r="K55" s="1671"/>
      <c r="L55" s="1672"/>
      <c r="M55" s="1673"/>
      <c r="N55" s="1674"/>
      <c r="O55" s="1674"/>
      <c r="P55" s="1674"/>
      <c r="Q55" s="1674"/>
      <c r="R55" s="1674"/>
      <c r="S55" s="1674"/>
      <c r="T55" s="1674"/>
    </row>
    <row r="56" spans="2:20" ht="13.5" customHeight="1" x14ac:dyDescent="0.2">
      <c r="B56" s="1572" t="s">
        <v>176</v>
      </c>
      <c r="C56" s="566" t="s">
        <v>493</v>
      </c>
      <c r="D56" s="746"/>
      <c r="E56" s="746">
        <v>0</v>
      </c>
      <c r="F56" s="746">
        <v>0</v>
      </c>
      <c r="G56" s="747">
        <v>0</v>
      </c>
      <c r="H56" s="812">
        <f t="shared" si="0"/>
        <v>0</v>
      </c>
      <c r="I56" s="74"/>
      <c r="J56" s="1671" t="s">
        <v>479</v>
      </c>
      <c r="K56" s="1671"/>
      <c r="L56" s="1672">
        <v>0</v>
      </c>
      <c r="M56" s="1673">
        <v>0</v>
      </c>
      <c r="N56" s="1674"/>
      <c r="O56" s="1674"/>
      <c r="P56" s="1674"/>
      <c r="Q56" s="1674"/>
      <c r="R56" s="1674"/>
      <c r="S56" s="1674"/>
      <c r="T56" s="1674"/>
    </row>
    <row r="57" spans="2:20" ht="13.5" customHeight="1" x14ac:dyDescent="0.2">
      <c r="B57" s="1572" t="s">
        <v>177</v>
      </c>
      <c r="C57" s="566" t="s">
        <v>494</v>
      </c>
      <c r="D57" s="746"/>
      <c r="E57" s="746">
        <v>0</v>
      </c>
      <c r="F57" s="746"/>
      <c r="G57" s="747"/>
      <c r="H57" s="812">
        <f t="shared" si="0"/>
        <v>0</v>
      </c>
      <c r="I57" s="74"/>
      <c r="J57" s="1671"/>
      <c r="K57" s="1671"/>
      <c r="L57" s="1672"/>
      <c r="M57" s="1673"/>
      <c r="N57" s="1674"/>
      <c r="O57" s="1674"/>
      <c r="P57" s="1674"/>
      <c r="Q57" s="1674"/>
      <c r="R57" s="1674"/>
      <c r="S57" s="1674"/>
      <c r="T57" s="1674"/>
    </row>
    <row r="58" spans="2:20" ht="13.5" customHeight="1" x14ac:dyDescent="0.2">
      <c r="B58" s="1572" t="s">
        <v>445</v>
      </c>
      <c r="C58" s="391" t="s">
        <v>321</v>
      </c>
      <c r="D58" s="704">
        <f>'AT1 Avustus, alv-laskenta '!C48</f>
        <v>0</v>
      </c>
      <c r="E58" s="704">
        <f>'AT1 Avustus, alv-laskenta '!D48</f>
        <v>0</v>
      </c>
      <c r="F58" s="704">
        <f>'AT1 Avustus, alv-laskenta '!E48</f>
        <v>0</v>
      </c>
      <c r="G58" s="704">
        <f>'AT1 Avustus, alv-laskenta '!F48</f>
        <v>0</v>
      </c>
      <c r="H58" s="812">
        <f t="shared" si="0"/>
        <v>0</v>
      </c>
      <c r="I58" s="71"/>
      <c r="J58" s="1671" t="s">
        <v>480</v>
      </c>
      <c r="K58" s="1671"/>
      <c r="L58" s="1672">
        <v>0</v>
      </c>
      <c r="M58" s="1673">
        <v>0</v>
      </c>
      <c r="N58" s="1674">
        <v>0</v>
      </c>
      <c r="O58" s="1674"/>
      <c r="P58" s="1674"/>
      <c r="Q58" s="1674"/>
      <c r="R58" s="1674"/>
      <c r="S58" s="1674"/>
      <c r="T58" s="1674"/>
    </row>
    <row r="59" spans="2:20" ht="13.5" customHeight="1" x14ac:dyDescent="0.2">
      <c r="B59" s="1572" t="s">
        <v>473</v>
      </c>
      <c r="C59" s="391" t="s">
        <v>483</v>
      </c>
      <c r="D59" s="704">
        <f>'AT1 Avustus, alv-laskenta '!C49</f>
        <v>0</v>
      </c>
      <c r="E59" s="704">
        <f>'AT1 Avustus, alv-laskenta '!D49</f>
        <v>0</v>
      </c>
      <c r="F59" s="704">
        <f>'AT1 Avustus, alv-laskenta '!E49</f>
        <v>0</v>
      </c>
      <c r="G59" s="704">
        <f>'AT1 Avustus, alv-laskenta '!F49</f>
        <v>0</v>
      </c>
      <c r="H59" s="812">
        <f t="shared" si="0"/>
        <v>0</v>
      </c>
      <c r="I59" s="71"/>
      <c r="J59" s="1671"/>
      <c r="K59" s="1671"/>
      <c r="L59" s="1672"/>
      <c r="M59" s="1673"/>
      <c r="N59" s="1674"/>
      <c r="O59" s="1674"/>
      <c r="P59" s="1674"/>
      <c r="Q59" s="1674"/>
      <c r="R59" s="1674"/>
      <c r="S59" s="1674"/>
      <c r="T59" s="1674"/>
    </row>
    <row r="60" spans="2:20" ht="13.5" customHeight="1" x14ac:dyDescent="0.2">
      <c r="B60" s="1575" t="s">
        <v>484</v>
      </c>
      <c r="C60" s="211" t="s">
        <v>323</v>
      </c>
      <c r="D60" s="1576">
        <f>D40</f>
        <v>0</v>
      </c>
      <c r="E60" s="1576">
        <f>E40</f>
        <v>0</v>
      </c>
      <c r="F60" s="1576">
        <f>F40</f>
        <v>0</v>
      </c>
      <c r="G60" s="1576">
        <f>G40</f>
        <v>0</v>
      </c>
      <c r="H60" s="1576">
        <f t="shared" si="0"/>
        <v>0</v>
      </c>
      <c r="I60" s="71"/>
      <c r="J60" s="404"/>
      <c r="K60" s="331"/>
      <c r="L60" s="331"/>
      <c r="M60" s="331"/>
      <c r="N60" s="331"/>
      <c r="O60" s="331"/>
      <c r="P60" s="331"/>
      <c r="Q60" s="331"/>
      <c r="R60" s="331"/>
      <c r="S60" s="331"/>
      <c r="T60" s="495"/>
    </row>
    <row r="61" spans="2:20" ht="3" customHeight="1" x14ac:dyDescent="0.2">
      <c r="B61" s="84"/>
      <c r="C61" s="78"/>
      <c r="D61" s="84"/>
      <c r="E61" s="84"/>
      <c r="F61" s="84"/>
      <c r="G61" s="84"/>
      <c r="H61" s="752"/>
      <c r="I61" s="71"/>
      <c r="J61" s="447"/>
      <c r="K61" s="174"/>
      <c r="L61" s="174"/>
      <c r="M61" s="174"/>
      <c r="N61" s="174"/>
      <c r="O61" s="174"/>
      <c r="P61" s="174"/>
      <c r="Q61" s="174"/>
      <c r="R61" s="174"/>
      <c r="S61" s="174"/>
      <c r="T61" s="352"/>
    </row>
    <row r="62" spans="2:20" ht="15" customHeight="1" x14ac:dyDescent="0.2">
      <c r="B62" s="578" t="s">
        <v>485</v>
      </c>
      <c r="C62" s="77" t="s">
        <v>109</v>
      </c>
      <c r="D62" s="753"/>
      <c r="E62" s="753"/>
      <c r="F62" s="753"/>
      <c r="G62" s="753"/>
      <c r="H62" s="754">
        <v>0</v>
      </c>
      <c r="I62" s="71"/>
      <c r="J62" s="1439"/>
      <c r="K62" s="189"/>
      <c r="L62" s="189"/>
      <c r="M62" s="496"/>
      <c r="N62" s="496"/>
      <c r="O62" s="496"/>
      <c r="P62" s="496"/>
      <c r="Q62" s="496"/>
      <c r="R62" s="496"/>
      <c r="S62" s="496"/>
      <c r="T62" s="498"/>
    </row>
    <row r="63" spans="2:20" ht="10.15" customHeight="1" x14ac:dyDescent="0.2"/>
    <row r="64" spans="2:20" x14ac:dyDescent="0.2">
      <c r="B64" s="79">
        <f>OHJE!D26</f>
        <v>0</v>
      </c>
      <c r="C64" s="481" t="str">
        <f>IF(D48&lt;0,"12. TULORAHOITUS OLTAVA VÄHINTÄÄN 0!",IF(E48&lt;0,"12. TULORAHOITUS OLTAVA VÄHINTÄÄN 0!",IF(F48&lt;0,"12. TULORAHOITUS OLTAVA VÄHINTÄÄN 0!",IF(G48&lt;0,"12. TULORAHOITUS OLTAVA VÄHINTÄÄN 0!",""))))</f>
        <v/>
      </c>
      <c r="D64" s="54"/>
      <c r="E64" s="1666" t="str">
        <f>OHJE!I5</f>
        <v>Palvelun tarjoaa</v>
      </c>
      <c r="F64" s="1666"/>
      <c r="G64" s="1666"/>
      <c r="H64" s="1666"/>
      <c r="J64"/>
    </row>
    <row r="65" spans="2:12" x14ac:dyDescent="0.2">
      <c r="B65" s="1693" t="str">
        <f>OHJE!G24</f>
        <v>YT22 Toimivan yrityksen tulossuunnitelma</v>
      </c>
      <c r="C65" s="1693"/>
      <c r="D65" s="1698" t="str">
        <f>OHJE!H7</f>
        <v>Business Kuopio</v>
      </c>
      <c r="E65" s="1698"/>
      <c r="F65" s="1698"/>
      <c r="G65" s="1698"/>
      <c r="H65" s="1698"/>
      <c r="J65"/>
      <c r="L65" s="1670">
        <v>0</v>
      </c>
    </row>
    <row r="66" spans="2:12" x14ac:dyDescent="0.2">
      <c r="B66" s="1693"/>
      <c r="C66" s="1693"/>
      <c r="D66" s="1049"/>
      <c r="E66" s="1049"/>
      <c r="F66" s="1049"/>
      <c r="G66" s="1049"/>
      <c r="H66" s="1049"/>
      <c r="L66" s="1670"/>
    </row>
    <row r="67" spans="2:12" ht="14.25" x14ac:dyDescent="0.2">
      <c r="B67" s="80"/>
      <c r="C67" s="81"/>
    </row>
    <row r="68" spans="2:12" x14ac:dyDescent="0.2">
      <c r="B68" s="424" t="s">
        <v>336</v>
      </c>
    </row>
    <row r="69" spans="2:12" x14ac:dyDescent="0.2">
      <c r="B69" s="54" t="s">
        <v>337</v>
      </c>
    </row>
    <row r="70" spans="2:12" x14ac:dyDescent="0.2">
      <c r="B70" s="54" t="s">
        <v>338</v>
      </c>
    </row>
    <row r="71" spans="2:12" ht="14.25" x14ac:dyDescent="0.2">
      <c r="B71" s="80"/>
      <c r="C71" s="81"/>
    </row>
    <row r="72" spans="2:12" ht="14.25" x14ac:dyDescent="0.2">
      <c r="B72" s="80"/>
      <c r="C72" s="81"/>
    </row>
    <row r="73" spans="2:12" ht="14.25" x14ac:dyDescent="0.2">
      <c r="B73" s="80"/>
      <c r="C73" s="81"/>
    </row>
    <row r="74" spans="2:12" ht="14.25" x14ac:dyDescent="0.2">
      <c r="B74" s="80"/>
      <c r="C74" s="81"/>
    </row>
    <row r="75" spans="2:12" ht="14.25" x14ac:dyDescent="0.2">
      <c r="B75" s="80"/>
      <c r="C75" s="81"/>
    </row>
    <row r="76" spans="2:12" x14ac:dyDescent="0.2">
      <c r="B76" s="424"/>
    </row>
    <row r="77" spans="2:12" x14ac:dyDescent="0.2">
      <c r="B77" s="54"/>
    </row>
    <row r="78" spans="2:12" x14ac:dyDescent="0.2">
      <c r="B78" s="54"/>
    </row>
  </sheetData>
  <sheetProtection algorithmName="SHA-512" hashValue="2dI5urs6g3m+Yq9cNWZCjn4d7PqCH4eH0goWLETw/txyMGkdoLtVoDK5MSAMiEqNxq7v5bWo8JOJsnPnRfCyUw==" saltValue="8hQuWNVyrdXzmIXgWb7ulg==" spinCount="100000" sheet="1" objects="1" scenarios="1"/>
  <mergeCells count="38">
    <mergeCell ref="B65:C65"/>
    <mergeCell ref="B66:C66"/>
    <mergeCell ref="H15:H16"/>
    <mergeCell ref="B51:C51"/>
    <mergeCell ref="B44:C44"/>
    <mergeCell ref="D65:H65"/>
    <mergeCell ref="E64:H64"/>
    <mergeCell ref="E5:F5"/>
    <mergeCell ref="B15:C16"/>
    <mergeCell ref="B42:C43"/>
    <mergeCell ref="B7:D7"/>
    <mergeCell ref="E7:H7"/>
    <mergeCell ref="H42:H43"/>
    <mergeCell ref="E9:H9"/>
    <mergeCell ref="E11:H11"/>
    <mergeCell ref="E10:H10"/>
    <mergeCell ref="E12:H12"/>
    <mergeCell ref="E13:H13"/>
    <mergeCell ref="B11:D13"/>
    <mergeCell ref="N54:T55"/>
    <mergeCell ref="M54:M55"/>
    <mergeCell ref="L54:L55"/>
    <mergeCell ref="J54:K55"/>
    <mergeCell ref="B9:D9"/>
    <mergeCell ref="J3:K3"/>
    <mergeCell ref="J52:K53"/>
    <mergeCell ref="L52:L53"/>
    <mergeCell ref="M52:M53"/>
    <mergeCell ref="N52:T53"/>
    <mergeCell ref="L65:L66"/>
    <mergeCell ref="J56:K57"/>
    <mergeCell ref="L56:L57"/>
    <mergeCell ref="M56:M57"/>
    <mergeCell ref="N56:T57"/>
    <mergeCell ref="J58:K59"/>
    <mergeCell ref="L58:L59"/>
    <mergeCell ref="M58:M59"/>
    <mergeCell ref="N58:T5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11" sqref="E11"/>
    </sheetView>
  </sheetViews>
  <sheetFormatPr defaultRowHeight="12.75" x14ac:dyDescent="0.2"/>
  <cols>
    <col min="2" max="2" width="2.85546875" style="42" customWidth="1"/>
    <col min="3" max="3" width="34.28515625" customWidth="1"/>
    <col min="4" max="4" width="5.28515625" customWidth="1"/>
    <col min="5" max="5" width="12.42578125" customWidth="1"/>
    <col min="6" max="6" width="5.28515625" customWidth="1"/>
    <col min="7" max="7" width="12.42578125" customWidth="1"/>
    <col min="8" max="8" width="5.7109375" style="42" customWidth="1"/>
    <col min="9" max="9" width="12.42578125" style="4" customWidth="1"/>
    <col min="10" max="10" width="5.7109375" style="42" customWidth="1"/>
    <col min="11" max="11" width="12.42578125" customWidth="1"/>
    <col min="12" max="12" width="5.7109375" style="42" customWidth="1"/>
    <col min="13" max="13" width="12.42578125" customWidth="1"/>
    <col min="14" max="14" width="5.7109375" style="42" customWidth="1"/>
    <col min="15" max="15" width="12.42578125" customWidth="1"/>
    <col min="16" max="16" width="5.7109375" style="42" customWidth="1"/>
    <col min="17" max="17" width="3.28515625" customWidth="1"/>
  </cols>
  <sheetData>
    <row r="1" spans="1:32" ht="30.4" customHeight="1" x14ac:dyDescent="0.2"/>
    <row r="2" spans="1:32" ht="15.75" x14ac:dyDescent="0.25">
      <c r="C2" s="25" t="s">
        <v>104</v>
      </c>
      <c r="G2" s="50"/>
      <c r="R2" s="25" t="s">
        <v>104</v>
      </c>
    </row>
    <row r="3" spans="1:32" ht="15.75" x14ac:dyDescent="0.2">
      <c r="G3" s="588"/>
      <c r="I3" s="443"/>
      <c r="K3" s="442"/>
    </row>
    <row r="4" spans="1:32" ht="20.25" customHeight="1" x14ac:dyDescent="0.2">
      <c r="B4" s="50" t="s">
        <v>703</v>
      </c>
      <c r="C4" s="47"/>
      <c r="D4" s="47"/>
      <c r="E4" s="47"/>
      <c r="F4" s="47"/>
      <c r="G4" s="47" t="s">
        <v>530</v>
      </c>
      <c r="H4" s="60"/>
      <c r="I4" s="348"/>
      <c r="K4" s="50"/>
      <c r="M4" s="47"/>
      <c r="N4" s="47"/>
      <c r="O4" s="47" t="s">
        <v>93</v>
      </c>
      <c r="P4" s="60"/>
    </row>
    <row r="5" spans="1:32" ht="15" customHeight="1" x14ac:dyDescent="0.2">
      <c r="B5" s="1676" t="str">
        <f>'1. T1 INVESTOINTISUUN.'!B7</f>
        <v xml:space="preserve"> </v>
      </c>
      <c r="C5" s="1676"/>
      <c r="D5" s="1676"/>
      <c r="E5" s="1676"/>
      <c r="F5" s="590"/>
      <c r="G5" s="1676">
        <f>'1. T1 INVESTOINTISUUN.'!B9</f>
        <v>0</v>
      </c>
      <c r="H5" s="1676"/>
      <c r="I5" s="1676"/>
      <c r="J5" s="1676"/>
      <c r="K5" s="1676"/>
      <c r="L5" s="1676"/>
      <c r="M5" s="528"/>
      <c r="N5" s="589"/>
      <c r="O5" s="1699">
        <f>'1. T1 INVESTOINTISUUN.'!E4</f>
        <v>0</v>
      </c>
      <c r="P5" s="1699"/>
      <c r="R5" s="1425" t="s">
        <v>414</v>
      </c>
      <c r="S5" s="1440"/>
      <c r="T5" s="1441"/>
      <c r="U5" s="1440"/>
      <c r="V5" s="1440"/>
      <c r="W5" s="1440"/>
      <c r="X5" s="1440"/>
      <c r="Y5" s="1440"/>
      <c r="Z5" s="1442"/>
      <c r="AA5" s="1442"/>
      <c r="AB5" s="1442"/>
      <c r="AC5" s="1442"/>
      <c r="AD5" s="1442"/>
      <c r="AE5" s="1442"/>
      <c r="AF5" s="1443"/>
    </row>
    <row r="6" spans="1:32" ht="12.75" customHeight="1" x14ac:dyDescent="0.2">
      <c r="R6" s="1700"/>
      <c r="S6" s="1701"/>
      <c r="T6" s="331"/>
      <c r="U6" s="331"/>
      <c r="V6" s="331"/>
      <c r="W6" s="331"/>
      <c r="X6" s="331"/>
      <c r="Y6" s="331"/>
      <c r="Z6" s="331"/>
      <c r="AA6" s="331"/>
      <c r="AB6" s="331"/>
      <c r="AC6" s="331"/>
      <c r="AD6" s="331"/>
      <c r="AE6" s="331"/>
      <c r="AF6" s="495"/>
    </row>
    <row r="7" spans="1:32" x14ac:dyDescent="0.2">
      <c r="A7" s="55"/>
      <c r="B7" s="1705" t="s">
        <v>0</v>
      </c>
      <c r="C7" s="1706"/>
      <c r="D7" s="1707"/>
      <c r="E7" s="1736" t="s">
        <v>101</v>
      </c>
      <c r="F7" s="1737"/>
      <c r="G7" s="1736" t="s">
        <v>101</v>
      </c>
      <c r="H7" s="1737"/>
      <c r="I7" s="1736" t="str">
        <f>'1. T1 INVESTOINTISUUN.'!D15</f>
        <v>Ennuste 1</v>
      </c>
      <c r="J7" s="1737"/>
      <c r="K7" s="1736" t="s">
        <v>98</v>
      </c>
      <c r="L7" s="1737"/>
      <c r="M7" s="1736" t="s">
        <v>100</v>
      </c>
      <c r="N7" s="1737"/>
      <c r="O7" s="1736" t="s">
        <v>259</v>
      </c>
      <c r="P7" s="1748"/>
      <c r="Q7" s="4"/>
      <c r="R7" s="404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495"/>
    </row>
    <row r="8" spans="1:32" x14ac:dyDescent="0.2">
      <c r="B8" s="1708"/>
      <c r="C8" s="1709"/>
      <c r="D8" s="1710"/>
      <c r="E8" s="1738">
        <v>2021</v>
      </c>
      <c r="F8" s="1739"/>
      <c r="G8" s="1738">
        <v>2022</v>
      </c>
      <c r="H8" s="1739"/>
      <c r="I8" s="1743">
        <f>'1. T1 INVESTOINTISUUN.'!D16</f>
        <v>2024</v>
      </c>
      <c r="J8" s="1739"/>
      <c r="K8" s="1744">
        <f>I8+1</f>
        <v>2025</v>
      </c>
      <c r="L8" s="1745"/>
      <c r="M8" s="1744">
        <f>K8+1</f>
        <v>2026</v>
      </c>
      <c r="N8" s="1745"/>
      <c r="O8" s="1744">
        <f>M8+1</f>
        <v>2027</v>
      </c>
      <c r="P8" s="1749"/>
      <c r="Q8" s="4"/>
      <c r="R8" s="404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495"/>
    </row>
    <row r="9" spans="1:32" ht="13.5" thickBot="1" x14ac:dyDescent="0.25">
      <c r="A9" s="55"/>
      <c r="B9" s="1584"/>
      <c r="C9" s="1264"/>
      <c r="D9" s="1265"/>
      <c r="E9" s="1266" t="s">
        <v>17</v>
      </c>
      <c r="F9" s="1267" t="s">
        <v>14</v>
      </c>
      <c r="G9" s="1266" t="s">
        <v>17</v>
      </c>
      <c r="H9" s="1267" t="s">
        <v>14</v>
      </c>
      <c r="I9" s="1266" t="s">
        <v>17</v>
      </c>
      <c r="J9" s="1267" t="s">
        <v>14</v>
      </c>
      <c r="K9" s="1266" t="s">
        <v>17</v>
      </c>
      <c r="L9" s="1267" t="s">
        <v>14</v>
      </c>
      <c r="M9" s="1266" t="s">
        <v>17</v>
      </c>
      <c r="N9" s="1267" t="s">
        <v>14</v>
      </c>
      <c r="O9" s="1266" t="s">
        <v>17</v>
      </c>
      <c r="P9" s="1585" t="s">
        <v>14</v>
      </c>
      <c r="Q9" s="4"/>
      <c r="R9" s="404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495"/>
    </row>
    <row r="10" spans="1:32" x14ac:dyDescent="0.2">
      <c r="A10" s="2"/>
      <c r="B10" s="1561"/>
      <c r="C10" s="360"/>
      <c r="D10" s="1101" t="s">
        <v>398</v>
      </c>
      <c r="E10" s="1740">
        <v>12</v>
      </c>
      <c r="F10" s="1741"/>
      <c r="G10" s="1740" t="s">
        <v>399</v>
      </c>
      <c r="H10" s="1741"/>
      <c r="I10" s="1740">
        <v>12</v>
      </c>
      <c r="J10" s="1741"/>
      <c r="K10" s="1740" t="s">
        <v>399</v>
      </c>
      <c r="L10" s="1741"/>
      <c r="M10" s="1740" t="s">
        <v>399</v>
      </c>
      <c r="N10" s="1741"/>
      <c r="O10" s="1740" t="s">
        <v>399</v>
      </c>
      <c r="P10" s="1747"/>
      <c r="Q10" s="4"/>
      <c r="R10" s="1444" t="s">
        <v>526</v>
      </c>
      <c r="S10" s="157"/>
      <c r="T10" s="157"/>
      <c r="U10" s="157"/>
      <c r="V10" s="331"/>
      <c r="W10" s="331"/>
      <c r="X10" s="331"/>
      <c r="Y10" s="331"/>
      <c r="Z10" s="331"/>
      <c r="AA10" s="331"/>
      <c r="AB10" s="331"/>
      <c r="AC10" s="331"/>
      <c r="AD10" s="331"/>
      <c r="AE10" s="331"/>
      <c r="AF10" s="495"/>
    </row>
    <row r="11" spans="1:32" s="55" customFormat="1" ht="12.6" customHeight="1" x14ac:dyDescent="0.2">
      <c r="B11" s="1586" t="s">
        <v>2</v>
      </c>
      <c r="C11" s="1100" t="s">
        <v>77</v>
      </c>
      <c r="D11" s="346" t="s">
        <v>89</v>
      </c>
      <c r="E11" s="1009">
        <v>0</v>
      </c>
      <c r="F11" s="332">
        <v>0</v>
      </c>
      <c r="G11" s="1027">
        <v>0</v>
      </c>
      <c r="H11" s="332">
        <v>0</v>
      </c>
      <c r="I11" s="1010">
        <f>'6. E2 LIIKEVAIHTO '!E79</f>
        <v>0</v>
      </c>
      <c r="J11" s="332">
        <v>0</v>
      </c>
      <c r="K11" s="1010">
        <f>'6. E2 LIIKEVAIHTO '!F79</f>
        <v>0</v>
      </c>
      <c r="L11" s="332">
        <v>0</v>
      </c>
      <c r="M11" s="1010">
        <f>'6. E2 LIIKEVAIHTO '!G79</f>
        <v>0</v>
      </c>
      <c r="N11" s="332">
        <v>0</v>
      </c>
      <c r="O11" s="1010">
        <f>'6. E2 LIIKEVAIHTO '!H79</f>
        <v>0</v>
      </c>
      <c r="P11" s="1587">
        <v>0</v>
      </c>
      <c r="Q11" s="174"/>
      <c r="R11" s="296">
        <f>I8</f>
        <v>2024</v>
      </c>
      <c r="S11" s="296">
        <f>K8</f>
        <v>2025</v>
      </c>
      <c r="T11" s="296">
        <f>M$8</f>
        <v>2026</v>
      </c>
      <c r="U11" s="296">
        <f>O$8</f>
        <v>2027</v>
      </c>
      <c r="V11" s="411"/>
      <c r="W11" s="331"/>
      <c r="X11" s="331"/>
      <c r="Y11" s="331"/>
      <c r="Z11" s="331"/>
      <c r="AA11" s="331"/>
      <c r="AB11" s="331"/>
      <c r="AC11" s="331"/>
      <c r="AD11" s="331"/>
      <c r="AE11" s="331"/>
      <c r="AF11" s="495"/>
    </row>
    <row r="12" spans="1:32" s="55" customFormat="1" ht="12.6" customHeight="1" x14ac:dyDescent="0.2">
      <c r="A12"/>
      <c r="B12" s="1588" t="s">
        <v>3</v>
      </c>
      <c r="C12" s="333" t="s">
        <v>80</v>
      </c>
      <c r="D12" s="334" t="s">
        <v>89</v>
      </c>
      <c r="E12" s="1011">
        <v>0</v>
      </c>
      <c r="F12" s="335">
        <v>0</v>
      </c>
      <c r="G12" s="949">
        <v>0</v>
      </c>
      <c r="H12" s="335">
        <v>0</v>
      </c>
      <c r="I12" s="949">
        <f>G12+G12*Q12</f>
        <v>0</v>
      </c>
      <c r="J12" s="335"/>
      <c r="K12" s="949">
        <f>I12+I12*S12</f>
        <v>0</v>
      </c>
      <c r="L12" s="335"/>
      <c r="M12" s="949">
        <f>K12+K12*T12</f>
        <v>0</v>
      </c>
      <c r="N12" s="335"/>
      <c r="O12" s="949">
        <f>M12+M12*U12</f>
        <v>0</v>
      </c>
      <c r="P12" s="1589"/>
      <c r="Q12" s="174"/>
      <c r="R12" s="410">
        <v>0</v>
      </c>
      <c r="S12" s="410">
        <f>R12</f>
        <v>0</v>
      </c>
      <c r="T12" s="410">
        <f>S12</f>
        <v>0</v>
      </c>
      <c r="U12" s="410">
        <f>T12</f>
        <v>0</v>
      </c>
      <c r="V12" s="411"/>
      <c r="W12" s="331"/>
      <c r="X12" s="331"/>
      <c r="Y12" s="331"/>
      <c r="Z12" s="331"/>
      <c r="AA12" s="331"/>
      <c r="AB12" s="331"/>
      <c r="AC12" s="331"/>
      <c r="AD12" s="331"/>
      <c r="AE12" s="331"/>
      <c r="AF12" s="495"/>
    </row>
    <row r="13" spans="1:32" s="55" customFormat="1" ht="12.6" customHeight="1" x14ac:dyDescent="0.2">
      <c r="A13"/>
      <c r="B13" s="1588" t="s">
        <v>4</v>
      </c>
      <c r="C13" s="333" t="s">
        <v>427</v>
      </c>
      <c r="D13" s="334" t="s">
        <v>89</v>
      </c>
      <c r="E13" s="1011">
        <v>0</v>
      </c>
      <c r="F13" s="335"/>
      <c r="G13" s="949">
        <v>0</v>
      </c>
      <c r="H13" s="335"/>
      <c r="I13" s="949"/>
      <c r="J13" s="335"/>
      <c r="K13" s="949"/>
      <c r="L13" s="335"/>
      <c r="M13" s="949"/>
      <c r="N13" s="335"/>
      <c r="O13" s="949"/>
      <c r="P13" s="1589"/>
      <c r="Q13" s="174"/>
      <c r="R13" s="1445"/>
      <c r="S13" s="529"/>
      <c r="T13" s="529"/>
      <c r="U13" s="529"/>
      <c r="V13" s="331"/>
      <c r="W13" s="331"/>
      <c r="X13" s="331"/>
      <c r="Y13" s="331"/>
      <c r="Z13" s="331"/>
      <c r="AA13" s="331"/>
      <c r="AB13" s="331"/>
      <c r="AC13" s="331"/>
      <c r="AD13" s="331"/>
      <c r="AE13" s="331"/>
      <c r="AF13" s="495"/>
    </row>
    <row r="14" spans="1:32" s="51" customFormat="1" ht="12.6" customHeight="1" x14ac:dyDescent="0.2">
      <c r="A14" s="55"/>
      <c r="B14" s="1588" t="s">
        <v>5</v>
      </c>
      <c r="C14" s="336" t="s">
        <v>84</v>
      </c>
      <c r="D14" s="337"/>
      <c r="E14" s="1012">
        <f>SUM(E11:E13)</f>
        <v>0</v>
      </c>
      <c r="F14" s="338">
        <v>100</v>
      </c>
      <c r="G14" s="1013">
        <f>SUM(G11:G13)</f>
        <v>0</v>
      </c>
      <c r="H14" s="338">
        <v>100</v>
      </c>
      <c r="I14" s="1013">
        <f>SUM(I11:I13)</f>
        <v>0</v>
      </c>
      <c r="J14" s="338">
        <v>100</v>
      </c>
      <c r="K14" s="1013">
        <f>SUM(K11:K13)</f>
        <v>0</v>
      </c>
      <c r="L14" s="338">
        <v>100</v>
      </c>
      <c r="M14" s="1013">
        <f>SUM(M11:M13)</f>
        <v>0</v>
      </c>
      <c r="N14" s="338">
        <v>100</v>
      </c>
      <c r="O14" s="1013">
        <f>SUM(O11:O13)</f>
        <v>0</v>
      </c>
      <c r="P14" s="802">
        <v>100</v>
      </c>
      <c r="Q14" s="174"/>
      <c r="R14" s="404"/>
      <c r="S14" s="331"/>
      <c r="T14" s="331"/>
      <c r="U14" s="331"/>
      <c r="V14" s="331"/>
      <c r="W14" s="331"/>
      <c r="X14" s="331"/>
      <c r="Y14" s="331"/>
      <c r="Z14" s="331"/>
      <c r="AA14" s="331"/>
      <c r="AB14" s="331"/>
      <c r="AC14" s="331"/>
      <c r="AD14" s="331"/>
      <c r="AE14" s="331"/>
      <c r="AF14" s="495"/>
    </row>
    <row r="15" spans="1:32" s="55" customFormat="1" ht="12.6" customHeight="1" x14ac:dyDescent="0.2">
      <c r="A15"/>
      <c r="B15" s="1588" t="s">
        <v>6</v>
      </c>
      <c r="C15" s="333" t="s">
        <v>81</v>
      </c>
      <c r="D15" s="334" t="s">
        <v>90</v>
      </c>
      <c r="E15" s="1011">
        <v>0</v>
      </c>
      <c r="F15" s="339">
        <f>-IF(E$14&gt;0,E15/E$14*100,0)</f>
        <v>0</v>
      </c>
      <c r="G15" s="949">
        <v>0</v>
      </c>
      <c r="H15" s="339">
        <f>-IF(G$14&gt;0,G15/G$14*100,0)</f>
        <v>0</v>
      </c>
      <c r="I15" s="944">
        <f>-'6. E2 LIIKEVAIHTO '!E80</f>
        <v>0</v>
      </c>
      <c r="J15" s="339">
        <f>-IF(I$14&gt;0,I15/I$14*100,0)</f>
        <v>0</v>
      </c>
      <c r="K15" s="944">
        <f>-'6. E2 LIIKEVAIHTO '!F80</f>
        <v>0</v>
      </c>
      <c r="L15" s="339">
        <f>-IF(K$14&gt;0,K15/K$14*100,0)</f>
        <v>0</v>
      </c>
      <c r="M15" s="944">
        <f>-'6. E2 LIIKEVAIHTO '!G80</f>
        <v>0</v>
      </c>
      <c r="N15" s="339">
        <f>-IF(M$14&gt;0,M15/M$14*100,0)</f>
        <v>0</v>
      </c>
      <c r="O15" s="944">
        <f>-'6. E2 LIIKEVAIHTO '!H80</f>
        <v>0</v>
      </c>
      <c r="P15" s="1590">
        <f>-IF(O$14&gt;0,O15/O$14*100,0)</f>
        <v>0</v>
      </c>
      <c r="Q15" s="174"/>
      <c r="R15" s="404"/>
      <c r="S15" s="331"/>
      <c r="T15" s="331"/>
      <c r="U15" s="331"/>
      <c r="V15" s="331"/>
      <c r="W15" s="331"/>
      <c r="X15" s="331"/>
      <c r="Y15" s="331"/>
      <c r="Z15" s="331"/>
      <c r="AA15" s="331"/>
      <c r="AB15" s="331"/>
      <c r="AC15" s="331"/>
      <c r="AD15" s="331"/>
      <c r="AE15" s="331"/>
      <c r="AF15" s="495"/>
    </row>
    <row r="16" spans="1:32" s="55" customFormat="1" ht="12.6" customHeight="1" x14ac:dyDescent="0.2">
      <c r="B16" s="1588" t="s">
        <v>7</v>
      </c>
      <c r="C16" s="333" t="s">
        <v>82</v>
      </c>
      <c r="D16" s="334" t="s">
        <v>90</v>
      </c>
      <c r="E16" s="1011">
        <v>0</v>
      </c>
      <c r="F16" s="339">
        <f>-IF(E$14&gt;0,E16/E$14*100,0)</f>
        <v>0</v>
      </c>
      <c r="G16" s="949">
        <v>0</v>
      </c>
      <c r="H16" s="339">
        <f>-IF(G$14&gt;0,G16/G$14*100,0)</f>
        <v>0</v>
      </c>
      <c r="I16" s="944">
        <f>-J16*I14/100</f>
        <v>0</v>
      </c>
      <c r="J16" s="679">
        <f>H16</f>
        <v>0</v>
      </c>
      <c r="K16" s="944">
        <f>-L16*K14/100</f>
        <v>0</v>
      </c>
      <c r="L16" s="679">
        <f>J16</f>
        <v>0</v>
      </c>
      <c r="M16" s="944">
        <f>-N16*M14/100</f>
        <v>0</v>
      </c>
      <c r="N16" s="679">
        <f>L16</f>
        <v>0</v>
      </c>
      <c r="O16" s="944">
        <f>-P16*O14/100</f>
        <v>0</v>
      </c>
      <c r="P16" s="1591">
        <f>N16</f>
        <v>0</v>
      </c>
      <c r="Q16" s="174"/>
      <c r="R16" s="404"/>
      <c r="S16" s="331"/>
      <c r="T16" s="331"/>
      <c r="U16" s="331"/>
      <c r="V16" s="331"/>
      <c r="W16" s="331"/>
      <c r="X16" s="331"/>
      <c r="Y16" s="331"/>
      <c r="Z16" s="331"/>
      <c r="AA16" s="331"/>
      <c r="AB16" s="331"/>
      <c r="AC16" s="331"/>
      <c r="AD16" s="331"/>
      <c r="AE16" s="331"/>
      <c r="AF16" s="495"/>
    </row>
    <row r="17" spans="1:32" s="55" customFormat="1" ht="12.6" customHeight="1" x14ac:dyDescent="0.2">
      <c r="A17" s="2"/>
      <c r="B17" s="1588" t="s">
        <v>8</v>
      </c>
      <c r="C17" s="333" t="s">
        <v>13</v>
      </c>
      <c r="D17" s="334" t="s">
        <v>90</v>
      </c>
      <c r="E17" s="1011">
        <v>0</v>
      </c>
      <c r="F17" s="339">
        <f>-IF(E$14&gt;0,E17/E$14*100,0)</f>
        <v>0</v>
      </c>
      <c r="G17" s="949">
        <v>0</v>
      </c>
      <c r="H17" s="339">
        <f>-IF(G$14&gt;0,G17/G$14*100,0)</f>
        <v>0</v>
      </c>
      <c r="I17" s="944">
        <f>-'5. E1 KUSTANNUKSET '!F44-'3. T3 TASE '!H93+'3. T3 TASE '!G93-'3. T3 TASE '!H94+'3. T3 TASE '!G94</f>
        <v>0</v>
      </c>
      <c r="J17" s="339">
        <f>-IF(I$14&gt;0,I17/I$14*100,0)</f>
        <v>0</v>
      </c>
      <c r="K17" s="944">
        <f>-'5. E1 KUSTANNUKSET '!H44-'3. T3 TASE '!I93+'3. T3 TASE '!H93-'3. T3 TASE '!I94+'3. T3 TASE '!H94</f>
        <v>0</v>
      </c>
      <c r="L17" s="339">
        <f>-IF(K$14&gt;0,K17/K$14*100,0)</f>
        <v>0</v>
      </c>
      <c r="M17" s="944">
        <f>-'5. E1 KUSTANNUKSET '!J44-'3. T3 TASE '!J93+'3. T3 TASE '!I93-'3. T3 TASE '!J94+'3. T3 TASE '!I94</f>
        <v>0</v>
      </c>
      <c r="N17" s="339">
        <f>-IF(M$14&gt;0,M17/M$14*100,0)</f>
        <v>0</v>
      </c>
      <c r="O17" s="944">
        <f>-'5. E1 KUSTANNUKSET '!L44-'3. T3 TASE '!K93+'3. T3 TASE '!J93-'3. T3 TASE '!K94+'3. T3 TASE '!J94</f>
        <v>0</v>
      </c>
      <c r="P17" s="1590">
        <f>-IF(O$14&gt;0,O17/O$14*100,0)</f>
        <v>0</v>
      </c>
      <c r="Q17" s="174"/>
      <c r="R17" s="404"/>
      <c r="S17" s="331"/>
      <c r="T17" s="331"/>
      <c r="U17" s="331"/>
      <c r="V17" s="331"/>
      <c r="W17" s="331"/>
      <c r="X17" s="331"/>
      <c r="Y17" s="331"/>
      <c r="Z17" s="331"/>
      <c r="AA17" s="331"/>
      <c r="AB17" s="331"/>
      <c r="AC17" s="331"/>
      <c r="AD17" s="331"/>
      <c r="AE17" s="331"/>
      <c r="AF17" s="495"/>
    </row>
    <row r="18" spans="1:32" s="55" customFormat="1" ht="12.6" customHeight="1" x14ac:dyDescent="0.2">
      <c r="A18"/>
      <c r="B18" s="1588" t="s">
        <v>9</v>
      </c>
      <c r="C18" s="340" t="s">
        <v>83</v>
      </c>
      <c r="D18" s="334" t="s">
        <v>90</v>
      </c>
      <c r="E18" s="1011">
        <v>0</v>
      </c>
      <c r="F18" s="339">
        <f>-IF(E$14&gt;0,E18/E$14*100,0)</f>
        <v>0</v>
      </c>
      <c r="G18" s="949">
        <v>0</v>
      </c>
      <c r="H18" s="339">
        <f>-IF(G$14&gt;0,G18/G$14*100,0)</f>
        <v>0</v>
      </c>
      <c r="I18" s="944">
        <f>-'5. E1 KUSTANNUKSET '!F45</f>
        <v>0</v>
      </c>
      <c r="J18" s="339">
        <f>-IF(I$14&gt;0,I18/I$14*100,0)</f>
        <v>0</v>
      </c>
      <c r="K18" s="944">
        <f>-'5. E1 KUSTANNUKSET '!H45</f>
        <v>0</v>
      </c>
      <c r="L18" s="339">
        <f>-IF(K$14&gt;0,K18/K$14*100,0)</f>
        <v>0</v>
      </c>
      <c r="M18" s="944">
        <f>-'5. E1 KUSTANNUKSET '!J45</f>
        <v>0</v>
      </c>
      <c r="N18" s="339">
        <f>-IF(M$14&gt;0,M18/M$14*100,0)</f>
        <v>0</v>
      </c>
      <c r="O18" s="944">
        <f>-'5. E1 KUSTANNUKSET '!L45</f>
        <v>0</v>
      </c>
      <c r="P18" s="1590">
        <f>-IF(O$14&gt;0,O18/O$14*100,0)</f>
        <v>0</v>
      </c>
      <c r="Q18" s="174"/>
      <c r="R18" s="404"/>
      <c r="S18" s="331"/>
      <c r="T18" s="331"/>
      <c r="U18" s="331"/>
      <c r="V18" s="331"/>
      <c r="W18" s="331"/>
      <c r="X18" s="331"/>
      <c r="Y18" s="331"/>
      <c r="Z18" s="331"/>
      <c r="AA18" s="331"/>
      <c r="AB18" s="331"/>
      <c r="AC18" s="331"/>
      <c r="AD18" s="331"/>
      <c r="AE18" s="331"/>
      <c r="AF18" s="495"/>
    </row>
    <row r="19" spans="1:32" s="55" customFormat="1" ht="12.6" customHeight="1" x14ac:dyDescent="0.2">
      <c r="A19"/>
      <c r="B19" s="1588" t="s">
        <v>10</v>
      </c>
      <c r="C19" s="340" t="s">
        <v>718</v>
      </c>
      <c r="D19" s="341" t="s">
        <v>264</v>
      </c>
      <c r="E19" s="1011">
        <v>0</v>
      </c>
      <c r="F19" s="339">
        <f>IF(E$14&gt;0,E19/E$14*100,0)</f>
        <v>0</v>
      </c>
      <c r="G19" s="949">
        <v>0</v>
      </c>
      <c r="H19" s="339">
        <f>IF(G$14&gt;0,G19/G$14*100,0)</f>
        <v>0</v>
      </c>
      <c r="I19" s="944">
        <f>'3. T3 TASE '!H39-'3. T3 TASE '!G39</f>
        <v>0</v>
      </c>
      <c r="J19" s="339">
        <f>IF(I$14&gt;0,I19/I$14*100,0)</f>
        <v>0</v>
      </c>
      <c r="K19" s="944">
        <f>'3. T3 TASE '!I39-'3. T3 TASE '!H39</f>
        <v>0</v>
      </c>
      <c r="L19" s="339">
        <f>IF(K$14&gt;0,K19/K$14*100,0)</f>
        <v>0</v>
      </c>
      <c r="M19" s="944">
        <f>'3. T3 TASE '!J39-'3. T3 TASE '!I39</f>
        <v>0</v>
      </c>
      <c r="N19" s="339">
        <f>IF(M$14&gt;0,M19/M$14*100,0)</f>
        <v>0</v>
      </c>
      <c r="O19" s="944">
        <f>'3. T3 TASE '!K39-'3. T3 TASE '!J39</f>
        <v>0</v>
      </c>
      <c r="P19" s="1590">
        <f>IF(O$14&gt;0,O19/O$14*100,0)</f>
        <v>0</v>
      </c>
      <c r="Q19" s="174"/>
      <c r="R19" s="404"/>
      <c r="S19" s="331"/>
      <c r="T19" s="331"/>
      <c r="U19" s="331"/>
      <c r="V19" s="331"/>
      <c r="W19" s="331"/>
      <c r="X19" s="331"/>
      <c r="Y19" s="331"/>
      <c r="Z19" s="331"/>
      <c r="AA19" s="331"/>
      <c r="AB19" s="331"/>
      <c r="AC19" s="331"/>
      <c r="AD19" s="331"/>
      <c r="AE19" s="331"/>
      <c r="AF19" s="495"/>
    </row>
    <row r="20" spans="1:32" s="55" customFormat="1" ht="12.6" customHeight="1" x14ac:dyDescent="0.2">
      <c r="A20"/>
      <c r="B20" s="1588" t="s">
        <v>11</v>
      </c>
      <c r="C20" s="342" t="s">
        <v>85</v>
      </c>
      <c r="D20" s="343"/>
      <c r="E20" s="1012">
        <f>SUM(E14:E19)</f>
        <v>0</v>
      </c>
      <c r="F20" s="339">
        <f>IF(E$14&gt;0,E20/E$14*100,0)</f>
        <v>0</v>
      </c>
      <c r="G20" s="1013">
        <f>SUM(G14:G19)</f>
        <v>0</v>
      </c>
      <c r="H20" s="339">
        <f>IF(G$14&gt;0,G20/G$14*100,0)</f>
        <v>0</v>
      </c>
      <c r="I20" s="1013">
        <f>SUM(I14:I19)</f>
        <v>0</v>
      </c>
      <c r="J20" s="339">
        <f>IF(I$14&gt;0,I20/I$14*100,0)</f>
        <v>0</v>
      </c>
      <c r="K20" s="1013">
        <f>SUM(K14:K19)</f>
        <v>0</v>
      </c>
      <c r="L20" s="339">
        <f>IF(K$14&gt;0,K20/K$14*100,0)</f>
        <v>0</v>
      </c>
      <c r="M20" s="1013">
        <f>SUM(M14:M19)</f>
        <v>0</v>
      </c>
      <c r="N20" s="339">
        <f>IF(M$14&gt;0,M20/M$14*100,0)</f>
        <v>0</v>
      </c>
      <c r="O20" s="1013">
        <f>SUM(O14:O19)</f>
        <v>0</v>
      </c>
      <c r="P20" s="1590">
        <f>IF(O$14&gt;0,O20/O$14*100,0)</f>
        <v>0</v>
      </c>
      <c r="Q20" s="174"/>
      <c r="R20" s="404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495"/>
    </row>
    <row r="21" spans="1:32" s="55" customFormat="1" ht="12.6" customHeight="1" x14ac:dyDescent="0.2">
      <c r="A21"/>
      <c r="B21" s="1588" t="s">
        <v>170</v>
      </c>
      <c r="C21" s="340" t="s">
        <v>368</v>
      </c>
      <c r="D21" s="334" t="s">
        <v>90</v>
      </c>
      <c r="E21" s="1011">
        <v>0</v>
      </c>
      <c r="F21" s="339">
        <f>-IF(E$14&gt;0,E21/E$14*100,0)</f>
        <v>0</v>
      </c>
      <c r="G21" s="949">
        <v>0</v>
      </c>
      <c r="H21" s="339">
        <f>-IF(G$14&gt;0,G21/G$14*100,0)</f>
        <v>0</v>
      </c>
      <c r="I21" s="944">
        <f>-('3. T3 TASE '!H17+'3. T3 TASE '!H25+'3. T3 TASE '!H29+'3. T3 TASE '!H33)</f>
        <v>0</v>
      </c>
      <c r="J21" s="339">
        <f>-IF(I$11&gt;0,I21/I$14*100,0)</f>
        <v>0</v>
      </c>
      <c r="K21" s="944">
        <f>-('3. T3 TASE '!I17+'3. T3 TASE '!I25+'3. T3 TASE '!I29+'3. T3 TASE '!I33)</f>
        <v>0</v>
      </c>
      <c r="L21" s="339">
        <f>-IF(K$11&gt;0,K21/K$14*100,0)</f>
        <v>0</v>
      </c>
      <c r="M21" s="944">
        <f>-('3. T3 TASE '!J17+'3. T3 TASE '!J25+'3. T3 TASE '!J29+'3. T3 TASE '!J33)</f>
        <v>0</v>
      </c>
      <c r="N21" s="339">
        <f>-IF(M$11&gt;0,M21/M$14*100,0)</f>
        <v>0</v>
      </c>
      <c r="O21" s="944">
        <f>-('3. T3 TASE '!K17+'3. T3 TASE '!K25+'3. T3 TASE '!K29+'3. T3 TASE '!K33)</f>
        <v>0</v>
      </c>
      <c r="P21" s="1590">
        <f>-IF(O$11&gt;0,O21/O$14*100,0)</f>
        <v>0</v>
      </c>
      <c r="Q21" s="174"/>
      <c r="R21" s="404"/>
      <c r="S21" s="331"/>
      <c r="T21" s="331"/>
      <c r="U21" s="331"/>
      <c r="V21" s="331"/>
      <c r="W21" s="331"/>
      <c r="X21" s="331"/>
      <c r="Y21" s="331"/>
      <c r="Z21" s="331"/>
      <c r="AA21" s="331"/>
      <c r="AB21" s="331"/>
      <c r="AC21" s="331"/>
      <c r="AD21" s="331"/>
      <c r="AE21" s="331"/>
      <c r="AF21" s="495"/>
    </row>
    <row r="22" spans="1:32" s="55" customFormat="1" ht="12.6" customHeight="1" x14ac:dyDescent="0.2">
      <c r="A22"/>
      <c r="B22" s="1588" t="s">
        <v>171</v>
      </c>
      <c r="C22" s="342" t="s">
        <v>369</v>
      </c>
      <c r="D22" s="344"/>
      <c r="E22" s="1012">
        <f>SUM(E20:E21)</f>
        <v>0</v>
      </c>
      <c r="F22" s="339">
        <f>IF(E$14&gt;0,E22/E$14*100,0)</f>
        <v>0</v>
      </c>
      <c r="G22" s="1013">
        <f>SUM(G20:G21)</f>
        <v>0</v>
      </c>
      <c r="H22" s="339">
        <f>IF(G$14&gt;0,G22/G$14*100,0)</f>
        <v>0</v>
      </c>
      <c r="I22" s="1013">
        <f>SUM(I20:I21)</f>
        <v>0</v>
      </c>
      <c r="J22" s="339">
        <f>IF(I$11&gt;0,I22/I$14*100,0)</f>
        <v>0</v>
      </c>
      <c r="K22" s="1013">
        <f>SUM(K20:K21)</f>
        <v>0</v>
      </c>
      <c r="L22" s="339">
        <f>IF(K$11&gt;0,K22/K$14*100,0)</f>
        <v>0</v>
      </c>
      <c r="M22" s="1013">
        <f>SUM(M20:M21)</f>
        <v>0</v>
      </c>
      <c r="N22" s="339">
        <f>IF(M$11&gt;0,M22/M$14*100,0)</f>
        <v>0</v>
      </c>
      <c r="O22" s="1013">
        <f>SUM(O20:O21)</f>
        <v>0</v>
      </c>
      <c r="P22" s="1590">
        <f>IF(O$11&gt;0,O22/O$14*100,0)</f>
        <v>0</v>
      </c>
      <c r="Q22" s="174"/>
      <c r="R22" s="404"/>
      <c r="S22" s="331"/>
      <c r="T22" s="331">
        <v>0</v>
      </c>
      <c r="U22" s="331"/>
      <c r="V22" s="331"/>
      <c r="W22" s="331"/>
      <c r="X22" s="331"/>
      <c r="Y22" s="331"/>
      <c r="Z22" s="331"/>
      <c r="AA22" s="331"/>
      <c r="AB22" s="331"/>
      <c r="AC22" s="331"/>
      <c r="AD22" s="331"/>
      <c r="AE22" s="331"/>
      <c r="AF22" s="495"/>
    </row>
    <row r="23" spans="1:32" s="55" customFormat="1" ht="12.6" customHeight="1" x14ac:dyDescent="0.2">
      <c r="A23"/>
      <c r="B23" s="1588" t="s">
        <v>372</v>
      </c>
      <c r="C23" s="340" t="s">
        <v>97</v>
      </c>
      <c r="D23" s="334" t="s">
        <v>89</v>
      </c>
      <c r="E23" s="1011">
        <v>0</v>
      </c>
      <c r="F23" s="339">
        <f>IF(E$14&gt;0,E23/E$14*100,0)</f>
        <v>0</v>
      </c>
      <c r="G23" s="949">
        <v>0</v>
      </c>
      <c r="H23" s="339">
        <f>IF(G$14&gt;0,G23/G$14*100,0)</f>
        <v>0</v>
      </c>
      <c r="I23" s="949">
        <v>0</v>
      </c>
      <c r="J23" s="339">
        <f>IF(I$14&gt;0,I23/I$14*100,0)</f>
        <v>0</v>
      </c>
      <c r="K23" s="949">
        <v>0</v>
      </c>
      <c r="L23" s="339">
        <f>IF(K$14&gt;0,K23/K$14*100,0)</f>
        <v>0</v>
      </c>
      <c r="M23" s="949"/>
      <c r="N23" s="339">
        <f>IF(M$14&gt;0,M23/M$14*100,0)</f>
        <v>0</v>
      </c>
      <c r="O23" s="949"/>
      <c r="P23" s="1590">
        <f>IF(O$14&gt;0,O23/O$14*100,0)</f>
        <v>0</v>
      </c>
      <c r="Q23" s="174"/>
      <c r="R23" s="404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495"/>
    </row>
    <row r="24" spans="1:32" s="55" customFormat="1" ht="12.6" customHeight="1" x14ac:dyDescent="0.2">
      <c r="A24"/>
      <c r="B24" s="1586" t="s">
        <v>172</v>
      </c>
      <c r="C24" s="345" t="s">
        <v>443</v>
      </c>
      <c r="D24" s="346" t="s">
        <v>89</v>
      </c>
      <c r="E24" s="1011">
        <v>0</v>
      </c>
      <c r="F24" s="339">
        <f>IF(E$14&gt;0,E24/E$14*100,0)</f>
        <v>0</v>
      </c>
      <c r="G24" s="949">
        <v>0</v>
      </c>
      <c r="H24" s="339">
        <f>IF(G$14&gt;0,G24/G$14*100,0)</f>
        <v>0</v>
      </c>
      <c r="I24" s="949">
        <v>0</v>
      </c>
      <c r="J24" s="339">
        <f>IF(I$14&gt;0,I24/I$14*100,0)</f>
        <v>0</v>
      </c>
      <c r="K24" s="949">
        <v>0</v>
      </c>
      <c r="L24" s="339">
        <f>IF(K$14&gt;0,K24/K$14*100,0)</f>
        <v>0</v>
      </c>
      <c r="M24" s="949">
        <v>0</v>
      </c>
      <c r="N24" s="339">
        <f>IF(M$14&gt;0,M24/M$14*100,0)</f>
        <v>0</v>
      </c>
      <c r="O24" s="949">
        <v>0</v>
      </c>
      <c r="P24" s="1590">
        <f>IF(O$14&gt;0,O24/O$14*100,0)</f>
        <v>0</v>
      </c>
      <c r="Q24" s="174"/>
      <c r="R24" s="404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495"/>
    </row>
    <row r="25" spans="1:32" s="55" customFormat="1" ht="12.6" customHeight="1" x14ac:dyDescent="0.2">
      <c r="A25"/>
      <c r="B25" s="1588" t="s">
        <v>173</v>
      </c>
      <c r="C25" s="333" t="s">
        <v>444</v>
      </c>
      <c r="D25" s="334" t="s">
        <v>90</v>
      </c>
      <c r="E25" s="1011">
        <v>0</v>
      </c>
      <c r="F25" s="339">
        <f>-IF(E$14&gt;0,E25/E$14*100,0)</f>
        <v>0</v>
      </c>
      <c r="G25" s="949">
        <v>0</v>
      </c>
      <c r="H25" s="339">
        <f>-IF(G$14&gt;0,G25/G$14*100,0)</f>
        <v>0</v>
      </c>
      <c r="I25" s="944">
        <f>-'4. T7 LAINAT '!H49</f>
        <v>0</v>
      </c>
      <c r="J25" s="339">
        <f>-IF(I$14&gt;0,I25/I$14*100,0)</f>
        <v>0</v>
      </c>
      <c r="K25" s="944">
        <f>-'4. T7 LAINAT '!K49</f>
        <v>0</v>
      </c>
      <c r="L25" s="339">
        <f>-IF(K$14&gt;0,K25/K$14*100,0)</f>
        <v>0</v>
      </c>
      <c r="M25" s="944">
        <f>-'4. T7 LAINAT '!N49</f>
        <v>0</v>
      </c>
      <c r="N25" s="339">
        <f>-IF(M$14&gt;0,M25/M$14*100,0)</f>
        <v>0</v>
      </c>
      <c r="O25" s="944">
        <f>-'4. T7 LAINAT '!Q49</f>
        <v>0</v>
      </c>
      <c r="P25" s="1590">
        <f>-IF(O$14&gt;0,O25/O$14*100,0)</f>
        <v>0</v>
      </c>
      <c r="Q25" s="174"/>
      <c r="R25" s="404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495"/>
    </row>
    <row r="26" spans="1:32" s="55" customFormat="1" ht="23.45" customHeight="1" x14ac:dyDescent="0.2">
      <c r="B26" s="1588" t="s">
        <v>174</v>
      </c>
      <c r="C26" s="1716" t="s">
        <v>86</v>
      </c>
      <c r="D26" s="1717"/>
      <c r="E26" s="1014">
        <f>E22+E23+E24+E25</f>
        <v>0</v>
      </c>
      <c r="F26" s="339">
        <f>IF(E$14&gt;0,E26/E$14*100,0)</f>
        <v>0</v>
      </c>
      <c r="G26" s="1015">
        <f>G22+G23+G24+G25</f>
        <v>0</v>
      </c>
      <c r="H26" s="339">
        <f>IF(G$14&gt;0,G26/G$14*100,0)</f>
        <v>0</v>
      </c>
      <c r="I26" s="1015">
        <f>I22+I23+I24+I25</f>
        <v>0</v>
      </c>
      <c r="J26" s="339">
        <f>IF(I$11&gt;0,I26/I$14*100,0)</f>
        <v>0</v>
      </c>
      <c r="K26" s="1015">
        <f>K22+K23+K24+K25</f>
        <v>0</v>
      </c>
      <c r="L26" s="339">
        <f>IF(K$11&gt;0,K26/K$14*100,0)</f>
        <v>0</v>
      </c>
      <c r="M26" s="1015">
        <f>M22+M23+M24+M25</f>
        <v>0</v>
      </c>
      <c r="N26" s="339">
        <f>IF(M$11&gt;0,M26/M$14*100,0)</f>
        <v>0</v>
      </c>
      <c r="O26" s="1015">
        <f>O22+O23+O24+O25</f>
        <v>0</v>
      </c>
      <c r="P26" s="1590">
        <f>IF(O$11&gt;0,O26/O$14*100,0)</f>
        <v>0</v>
      </c>
      <c r="Q26" s="174"/>
      <c r="R26" s="404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495"/>
    </row>
    <row r="27" spans="1:32" s="55" customFormat="1" ht="12.6" customHeight="1" x14ac:dyDescent="0.2">
      <c r="B27" s="1588" t="s">
        <v>175</v>
      </c>
      <c r="C27" s="583" t="s">
        <v>87</v>
      </c>
      <c r="D27" s="584" t="s">
        <v>90</v>
      </c>
      <c r="E27" s="1016">
        <v>0</v>
      </c>
      <c r="F27" s="339">
        <f>-IF(E$14&gt;0,E27/E$14*100,0)</f>
        <v>0</v>
      </c>
      <c r="G27" s="1017">
        <v>0</v>
      </c>
      <c r="H27" s="339">
        <f>-IF(G$14&gt;0,G27/G$14*100,0)</f>
        <v>0</v>
      </c>
      <c r="I27" s="1018">
        <f>-IF(I28*(I26+I29+I30+0.5*'5. E1 KUSTANNUKSET '!F86)&lt;0,0,I28*(I26+I29+I30+0.5*'5. E1 KUSTANNUKSET '!F86))</f>
        <v>0</v>
      </c>
      <c r="J27" s="339">
        <f>-IF(I$14&gt;0,I27/I$14*100,0)</f>
        <v>0</v>
      </c>
      <c r="K27" s="1018">
        <f>-IF(K28*(K26+K29+K30+0.5*'5. E1 KUSTANNUKSET '!H86)&lt;0,0,K28*(K26+K29+K30+0.5*'5. E1 KUSTANNUKSET '!H86))</f>
        <v>0</v>
      </c>
      <c r="L27" s="339">
        <f>-IF(K$14&gt;0,K27/K$14*100,0)</f>
        <v>0</v>
      </c>
      <c r="M27" s="1018">
        <f>-IF(M28*(M26+M29+M30+0.5*'5. E1 KUSTANNUKSET '!J86)&lt;0,0,M28*(M26+M29+M30+0.5*'5. E1 KUSTANNUKSET '!J86))</f>
        <v>0</v>
      </c>
      <c r="N27" s="339">
        <f>-IF(M$14&gt;0,M27/M$14*100,0)</f>
        <v>0</v>
      </c>
      <c r="O27" s="1018">
        <f>-IF(O28*(O26+O29+O30+0.5*'5. E1 KUSTANNUKSET '!L86)&lt;0,0,O28*(O26+O29+O30+0.5*'5. E1 KUSTANNUKSET '!L86))</f>
        <v>0</v>
      </c>
      <c r="P27" s="1590">
        <f>-IF(O$14&gt;0,O27/O$14*100,0)</f>
        <v>0</v>
      </c>
      <c r="Q27" s="174"/>
      <c r="R27" s="404">
        <v>0</v>
      </c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495"/>
    </row>
    <row r="28" spans="1:32" s="55" customFormat="1" ht="12.6" customHeight="1" x14ac:dyDescent="0.2">
      <c r="A28"/>
      <c r="B28" s="1588"/>
      <c r="C28" s="1728" t="s">
        <v>355</v>
      </c>
      <c r="D28" s="1729"/>
      <c r="E28" s="1019"/>
      <c r="F28" s="339"/>
      <c r="G28" s="1028"/>
      <c r="H28" s="339"/>
      <c r="I28" s="1020">
        <v>0.2</v>
      </c>
      <c r="J28" s="813"/>
      <c r="K28" s="1020">
        <f>I28</f>
        <v>0.2</v>
      </c>
      <c r="L28" s="1073"/>
      <c r="M28" s="1020">
        <f>K28</f>
        <v>0.2</v>
      </c>
      <c r="N28" s="813"/>
      <c r="O28" s="1020">
        <f>M28</f>
        <v>0.2</v>
      </c>
      <c r="P28" s="1590"/>
      <c r="Q28" s="174"/>
      <c r="R28" s="404"/>
      <c r="S28" s="331"/>
      <c r="T28" s="331"/>
      <c r="U28" s="331"/>
      <c r="V28" s="331"/>
      <c r="W28" s="331"/>
      <c r="X28" s="331"/>
      <c r="Y28" s="331"/>
      <c r="Z28" s="331"/>
      <c r="AA28" s="331"/>
      <c r="AB28" s="331"/>
      <c r="AC28" s="331"/>
      <c r="AD28" s="331"/>
      <c r="AE28" s="331"/>
      <c r="AF28" s="495"/>
    </row>
    <row r="29" spans="1:32" s="55" customFormat="1" ht="12.6" customHeight="1" x14ac:dyDescent="0.2">
      <c r="A29"/>
      <c r="B29" s="1588" t="s">
        <v>176</v>
      </c>
      <c r="C29" s="345" t="s">
        <v>106</v>
      </c>
      <c r="D29" s="585" t="s">
        <v>634</v>
      </c>
      <c r="E29" s="1016">
        <v>0</v>
      </c>
      <c r="F29" s="339">
        <f>IF(E$14&gt;0,E29/E$14*100,0)</f>
        <v>0</v>
      </c>
      <c r="G29" s="1017">
        <v>0</v>
      </c>
      <c r="H29" s="339">
        <f>IF(G$14&gt;0,G29/G$14*100,0)</f>
        <v>0</v>
      </c>
      <c r="I29" s="1017">
        <v>0</v>
      </c>
      <c r="J29" s="339">
        <f>IF(I$14&gt;0,I29/I$14*100,0)</f>
        <v>0</v>
      </c>
      <c r="K29" s="1021">
        <v>0</v>
      </c>
      <c r="L29" s="1074">
        <f>IF(K$14&gt;0,K29/K$14*100,0)</f>
        <v>0</v>
      </c>
      <c r="M29" s="1022">
        <v>0</v>
      </c>
      <c r="N29" s="339">
        <f>IF(M$14&gt;0,M29/M$14*100,0)</f>
        <v>0</v>
      </c>
      <c r="O29" s="1017">
        <v>0</v>
      </c>
      <c r="P29" s="1590">
        <f>IF(O$14&gt;0,O29/O$14*100,0)</f>
        <v>0</v>
      </c>
      <c r="Q29" s="174"/>
      <c r="R29" s="404"/>
      <c r="S29" s="331"/>
      <c r="T29" s="331"/>
      <c r="U29" s="331"/>
      <c r="V29" s="331"/>
      <c r="W29" s="331"/>
      <c r="X29" s="331"/>
      <c r="Y29" s="331"/>
      <c r="Z29" s="331"/>
      <c r="AA29" s="331"/>
      <c r="AB29" s="331"/>
      <c r="AC29" s="331"/>
      <c r="AD29" s="331"/>
      <c r="AE29" s="331"/>
      <c r="AF29" s="495"/>
    </row>
    <row r="30" spans="1:32" s="55" customFormat="1" ht="12.6" customHeight="1" x14ac:dyDescent="0.2">
      <c r="A30"/>
      <c r="B30" s="1588" t="s">
        <v>177</v>
      </c>
      <c r="C30" s="333" t="s">
        <v>428</v>
      </c>
      <c r="D30" s="341" t="s">
        <v>282</v>
      </c>
      <c r="E30" s="1016">
        <v>0</v>
      </c>
      <c r="F30" s="339">
        <f>-IF(E$14&gt;0,E30/E$14*100,0)</f>
        <v>0</v>
      </c>
      <c r="G30" s="1017">
        <v>0</v>
      </c>
      <c r="H30" s="339">
        <f>-IF(G$14&gt;0,G30/G$14*100,0)</f>
        <v>0</v>
      </c>
      <c r="I30" s="1015">
        <f>-('3. T3 TASE '!H64-'3. T3 TASE '!G64)</f>
        <v>0</v>
      </c>
      <c r="J30" s="339">
        <f>-IF(I$14&gt;0,I30/I$14*100,0)</f>
        <v>0</v>
      </c>
      <c r="K30" s="1015">
        <f>-('3. T3 TASE '!I64-'3. T3 TASE '!H64)</f>
        <v>0</v>
      </c>
      <c r="L30" s="339">
        <f>-IF(K$14&gt;0,K30/K$14*100,0)</f>
        <v>0</v>
      </c>
      <c r="M30" s="1015">
        <f>-('3. T3 TASE '!J64-'3. T3 TASE '!I64)</f>
        <v>0</v>
      </c>
      <c r="N30" s="339">
        <f>-IF(M$14&gt;0,M30/M$14*100,0)</f>
        <v>0</v>
      </c>
      <c r="O30" s="1015">
        <f>-('3. T3 TASE '!K64-'3. T3 TASE '!J64)</f>
        <v>0</v>
      </c>
      <c r="P30" s="1590">
        <f>-IF(O$14&gt;0,O30/O$14*100,0)</f>
        <v>0</v>
      </c>
      <c r="Q30" s="174"/>
      <c r="R30" s="404"/>
      <c r="S30" s="331"/>
      <c r="T30" s="331"/>
      <c r="U30" s="331"/>
      <c r="V30" s="331"/>
      <c r="W30" s="331"/>
      <c r="X30" s="331"/>
      <c r="Y30" s="331"/>
      <c r="Z30" s="331"/>
      <c r="AA30" s="331"/>
      <c r="AB30" s="331"/>
      <c r="AC30" s="331"/>
      <c r="AD30" s="331"/>
      <c r="AE30" s="331"/>
      <c r="AF30" s="495"/>
    </row>
    <row r="31" spans="1:32" s="55" customFormat="1" ht="12.6" customHeight="1" x14ac:dyDescent="0.2">
      <c r="B31" s="1592" t="s">
        <v>445</v>
      </c>
      <c r="C31" s="1593" t="s">
        <v>91</v>
      </c>
      <c r="D31" s="1594"/>
      <c r="E31" s="1012">
        <f>SUM(E26:E30)</f>
        <v>0</v>
      </c>
      <c r="F31" s="339">
        <f>IF(E$14&gt;0,E31/E$14*100,0)</f>
        <v>0</v>
      </c>
      <c r="G31" s="1013">
        <f>SUM(G26:G30)</f>
        <v>0</v>
      </c>
      <c r="H31" s="339">
        <f>IF(G$14&gt;0,G31/G$14*100,0)</f>
        <v>0</v>
      </c>
      <c r="I31" s="1013">
        <f>I26+I27+I29+I30</f>
        <v>0</v>
      </c>
      <c r="J31" s="339">
        <f>IF(I$11&gt;0,I31/I$14*100,0)</f>
        <v>0</v>
      </c>
      <c r="K31" s="1013">
        <f>K26+K27+K29+K30</f>
        <v>0</v>
      </c>
      <c r="L31" s="339">
        <f>IF(K$11&gt;0,K31/K$14*100,0)</f>
        <v>0</v>
      </c>
      <c r="M31" s="1013">
        <f>M26+M27+M29+M30</f>
        <v>0</v>
      </c>
      <c r="N31" s="339">
        <f>IF(M$11&gt;0,M31/M$14*100,0)</f>
        <v>0</v>
      </c>
      <c r="O31" s="1013">
        <f>O26+O27+O29+O30</f>
        <v>0</v>
      </c>
      <c r="P31" s="1590">
        <f>IF(O$11&gt;0,O31/O$14*100,0)</f>
        <v>0</v>
      </c>
      <c r="Q31" s="174"/>
      <c r="R31" s="581"/>
      <c r="S31" s="496"/>
      <c r="T31" s="496"/>
      <c r="U31" s="496"/>
      <c r="V31" s="496"/>
      <c r="W31" s="496"/>
      <c r="X31" s="496"/>
      <c r="Y31" s="496"/>
      <c r="Z31" s="496"/>
      <c r="AA31" s="496"/>
      <c r="AB31" s="496"/>
      <c r="AC31" s="496"/>
      <c r="AD31" s="496"/>
      <c r="AE31" s="496"/>
      <c r="AF31" s="498"/>
    </row>
    <row r="32" spans="1:32" ht="3.75" customHeight="1" x14ac:dyDescent="0.2">
      <c r="B32" s="61"/>
      <c r="C32" s="174"/>
      <c r="D32" s="174"/>
      <c r="E32" s="174"/>
      <c r="F32" s="174"/>
      <c r="G32" s="174"/>
      <c r="H32" s="175"/>
      <c r="I32" s="174"/>
      <c r="J32" s="175"/>
      <c r="K32" s="174"/>
      <c r="L32" s="175"/>
      <c r="M32" s="174"/>
      <c r="N32" s="175"/>
      <c r="O32" s="174"/>
      <c r="P32" s="175"/>
    </row>
    <row r="33" spans="1:17" ht="12.6" customHeight="1" x14ac:dyDescent="0.2">
      <c r="B33" s="1581"/>
      <c r="C33" s="1582" t="s">
        <v>102</v>
      </c>
      <c r="D33" s="1583"/>
      <c r="E33" s="1742">
        <v>1</v>
      </c>
      <c r="F33" s="1742"/>
      <c r="G33" s="1733">
        <f>E33</f>
        <v>1</v>
      </c>
      <c r="H33" s="1746"/>
      <c r="I33" s="1733">
        <f>G33</f>
        <v>1</v>
      </c>
      <c r="J33" s="1746"/>
      <c r="K33" s="1733">
        <f>I33</f>
        <v>1</v>
      </c>
      <c r="L33" s="1746"/>
      <c r="M33" s="1733">
        <f>K33</f>
        <v>1</v>
      </c>
      <c r="N33" s="1746"/>
      <c r="O33" s="1733">
        <f>M33</f>
        <v>1</v>
      </c>
      <c r="P33" s="1734"/>
    </row>
    <row r="34" spans="1:17" ht="12.75" customHeight="1" x14ac:dyDescent="0.2">
      <c r="B34" s="61"/>
      <c r="C34" s="1"/>
      <c r="D34" s="4"/>
      <c r="E34" s="4"/>
      <c r="F34" s="4"/>
      <c r="G34" s="87"/>
      <c r="H34" s="87"/>
      <c r="I34" s="349"/>
      <c r="J34" s="87"/>
      <c r="K34" s="87"/>
      <c r="L34" s="87"/>
      <c r="M34" s="87"/>
      <c r="N34" s="87"/>
      <c r="O34" s="87"/>
      <c r="P34" s="87"/>
    </row>
    <row r="35" spans="1:17" ht="12.75" customHeight="1" x14ac:dyDescent="0.25">
      <c r="B35" s="79">
        <f>'1. T1 INVESTOINTISUUN.'!B64</f>
        <v>0</v>
      </c>
      <c r="C35" s="1"/>
      <c r="D35" s="4"/>
      <c r="E35" s="4"/>
      <c r="F35" s="4"/>
      <c r="G35" s="87"/>
      <c r="H35" s="1135" t="str">
        <f>IF(I18&gt;0,"MUUTA TAULUKON T2 TULOSSUUNNITELMA LUVUT +MERKKISIKSI!","")</f>
        <v/>
      </c>
      <c r="I35" s="349"/>
      <c r="J35" s="87"/>
      <c r="K35" s="87"/>
      <c r="L35" s="87"/>
      <c r="M35" s="1666" t="str">
        <f>OHJE!I5</f>
        <v>Palvelun tarjoaa</v>
      </c>
      <c r="N35" s="1666"/>
      <c r="O35" s="1666"/>
      <c r="P35" s="1666"/>
    </row>
    <row r="36" spans="1:17" ht="14.25" customHeight="1" x14ac:dyDescent="0.2">
      <c r="A36" s="55"/>
      <c r="B36" s="79" t="str">
        <f>'1. T1 INVESTOINTISUUN.'!B65</f>
        <v>YT22 Toimivan yrityksen tulossuunnitelma</v>
      </c>
      <c r="C36" s="4"/>
      <c r="D36" s="4"/>
      <c r="E36" s="4"/>
      <c r="F36" s="4"/>
      <c r="G36" s="4"/>
      <c r="H36" s="61"/>
      <c r="I36" s="136"/>
      <c r="J36" s="61"/>
      <c r="K36" s="1698" t="str">
        <f>OHJE!H7</f>
        <v>Business Kuopio</v>
      </c>
      <c r="L36" s="1698"/>
      <c r="M36" s="1698"/>
      <c r="N36" s="1698"/>
      <c r="O36" s="1698"/>
      <c r="P36" s="1698"/>
    </row>
    <row r="37" spans="1:17" x14ac:dyDescent="0.2">
      <c r="A37" s="2"/>
      <c r="B37" s="1724"/>
      <c r="C37" s="1724"/>
      <c r="D37" s="1724"/>
      <c r="E37" s="532"/>
      <c r="F37" s="532"/>
      <c r="G37" s="1720"/>
      <c r="H37" s="1720"/>
      <c r="I37" s="1720"/>
      <c r="J37" s="1720"/>
      <c r="K37" s="572"/>
      <c r="L37" s="572"/>
      <c r="M37" s="572"/>
      <c r="N37" s="572"/>
      <c r="O37" s="572"/>
      <c r="P37" s="572"/>
      <c r="Q37" s="134"/>
    </row>
    <row r="38" spans="1:17" x14ac:dyDescent="0.2">
      <c r="B38" s="135"/>
      <c r="C38" s="136"/>
      <c r="D38" s="136"/>
      <c r="E38" s="136"/>
      <c r="F38" s="136"/>
      <c r="G38" s="1715"/>
      <c r="H38" s="1715"/>
      <c r="I38" s="1715"/>
      <c r="J38" s="1715"/>
      <c r="K38" s="1715"/>
      <c r="L38" s="1715"/>
      <c r="M38" s="1715"/>
      <c r="N38" s="1715"/>
      <c r="O38" s="1715"/>
      <c r="P38" s="1715"/>
      <c r="Q38" s="134"/>
    </row>
    <row r="39" spans="1:17" x14ac:dyDescent="0.2">
      <c r="B39" s="135"/>
      <c r="C39" s="424" t="s">
        <v>336</v>
      </c>
      <c r="D39" s="136"/>
      <c r="E39" s="136"/>
      <c r="F39" s="136"/>
      <c r="G39" s="430"/>
      <c r="H39" s="430"/>
      <c r="I39" s="430"/>
      <c r="J39" s="430"/>
      <c r="K39" s="1715"/>
      <c r="L39" s="1715"/>
      <c r="M39" s="1715"/>
      <c r="N39" s="1715"/>
      <c r="O39" s="1715"/>
      <c r="P39" s="1715"/>
      <c r="Q39" s="134"/>
    </row>
    <row r="40" spans="1:17" x14ac:dyDescent="0.2">
      <c r="B40" s="135"/>
      <c r="C40" s="54" t="s">
        <v>337</v>
      </c>
      <c r="D40" s="136"/>
      <c r="E40" s="136"/>
      <c r="F40" s="136"/>
      <c r="G40" s="134"/>
      <c r="H40" s="134"/>
      <c r="I40" s="430"/>
      <c r="J40" s="430"/>
      <c r="K40" s="1715"/>
      <c r="L40" s="1715"/>
      <c r="M40" s="1715"/>
      <c r="N40" s="1715"/>
      <c r="O40" s="1715"/>
      <c r="P40" s="1715"/>
      <c r="Q40" s="134"/>
    </row>
    <row r="41" spans="1:17" x14ac:dyDescent="0.2">
      <c r="B41" s="135"/>
      <c r="C41" s="54" t="s">
        <v>338</v>
      </c>
      <c r="D41" s="136"/>
      <c r="E41" s="136"/>
      <c r="F41" s="136"/>
      <c r="G41" s="430"/>
      <c r="H41" s="430"/>
      <c r="I41" s="430"/>
      <c r="J41" s="430"/>
      <c r="K41" s="1715"/>
      <c r="L41" s="1715"/>
      <c r="M41" s="1715"/>
      <c r="N41" s="1715"/>
      <c r="O41" s="1715"/>
      <c r="P41" s="1715"/>
      <c r="Q41" s="134"/>
    </row>
    <row r="42" spans="1:17" x14ac:dyDescent="0.2">
      <c r="B42" s="135"/>
      <c r="C42" s="136"/>
      <c r="D42" s="136"/>
      <c r="E42" s="136"/>
      <c r="F42" s="136"/>
      <c r="G42" s="1715"/>
      <c r="H42" s="1715"/>
      <c r="I42" s="1715"/>
      <c r="J42" s="1715"/>
      <c r="K42" s="1715"/>
      <c r="L42" s="1715"/>
      <c r="M42" s="1715"/>
      <c r="N42" s="1715"/>
      <c r="O42" s="1715"/>
      <c r="P42" s="1715"/>
      <c r="Q42" s="134"/>
    </row>
    <row r="43" spans="1:17" x14ac:dyDescent="0.2">
      <c r="B43" s="135"/>
      <c r="C43" s="136"/>
      <c r="D43" s="136"/>
      <c r="E43" s="136"/>
      <c r="F43" s="136"/>
      <c r="G43" s="1715"/>
      <c r="H43" s="1715"/>
      <c r="I43" s="1715"/>
      <c r="J43" s="1715"/>
      <c r="K43" s="1715"/>
      <c r="L43" s="1715"/>
      <c r="M43" s="1715"/>
      <c r="N43" s="1715"/>
      <c r="O43" s="1715"/>
      <c r="P43" s="1715"/>
      <c r="Q43" s="134"/>
    </row>
    <row r="44" spans="1:17" x14ac:dyDescent="0.2">
      <c r="B44" s="135"/>
      <c r="C44" s="136"/>
      <c r="D44" s="136"/>
      <c r="E44" s="136"/>
      <c r="F44" s="136"/>
      <c r="G44" s="1715"/>
      <c r="H44" s="1715"/>
      <c r="I44" s="1715"/>
      <c r="J44" s="1715"/>
      <c r="K44" s="1715"/>
      <c r="L44" s="1715"/>
      <c r="M44" s="1715"/>
      <c r="N44" s="1715"/>
      <c r="O44" s="1715"/>
      <c r="P44" s="1715"/>
      <c r="Q44" s="134"/>
    </row>
    <row r="45" spans="1:17" x14ac:dyDescent="0.2">
      <c r="B45" s="135"/>
      <c r="C45" s="136"/>
      <c r="D45" s="136"/>
      <c r="E45" s="136"/>
      <c r="F45" s="136"/>
      <c r="G45" s="1715"/>
      <c r="H45" s="1715"/>
      <c r="I45" s="1715"/>
      <c r="J45" s="1715"/>
      <c r="K45" s="1715"/>
      <c r="L45" s="1715"/>
      <c r="M45" s="1715"/>
      <c r="N45" s="1715"/>
      <c r="O45" s="1715"/>
      <c r="P45" s="1715"/>
      <c r="Q45" s="134"/>
    </row>
    <row r="46" spans="1:17" x14ac:dyDescent="0.2">
      <c r="B46" s="135"/>
      <c r="C46" s="136"/>
      <c r="D46" s="136"/>
      <c r="E46" s="136"/>
      <c r="F46" s="136"/>
      <c r="G46" s="1735"/>
      <c r="H46" s="1735"/>
      <c r="I46" s="1735"/>
      <c r="J46" s="1735"/>
      <c r="K46" s="1735"/>
      <c r="L46" s="1735"/>
      <c r="M46" s="1735"/>
      <c r="N46" s="1735"/>
      <c r="O46" s="1735"/>
      <c r="P46" s="1735"/>
      <c r="Q46" s="134"/>
    </row>
    <row r="47" spans="1:17" x14ac:dyDescent="0.2">
      <c r="B47" s="1713"/>
      <c r="C47" s="1713"/>
      <c r="D47" s="1713"/>
      <c r="E47" s="138"/>
      <c r="F47" s="138"/>
      <c r="G47" s="1715"/>
      <c r="H47" s="1715"/>
      <c r="I47" s="1715"/>
      <c r="J47" s="1715"/>
      <c r="K47" s="1715"/>
      <c r="L47" s="1715"/>
      <c r="M47" s="1715"/>
      <c r="N47" s="1715"/>
      <c r="O47" s="1715"/>
      <c r="P47" s="1715"/>
      <c r="Q47" s="134"/>
    </row>
    <row r="48" spans="1:17" x14ac:dyDescent="0.2">
      <c r="B48" s="135"/>
      <c r="C48" s="136"/>
      <c r="D48" s="136"/>
      <c r="E48" s="136"/>
      <c r="F48" s="136"/>
      <c r="G48" s="1715"/>
      <c r="H48" s="1715"/>
      <c r="I48" s="1715"/>
      <c r="J48" s="1715"/>
      <c r="K48" s="1715"/>
      <c r="L48" s="1715"/>
      <c r="M48" s="1715"/>
      <c r="N48" s="1715"/>
      <c r="O48" s="1715"/>
      <c r="P48" s="1715"/>
      <c r="Q48" s="134"/>
    </row>
    <row r="49" spans="2:21" x14ac:dyDescent="0.2">
      <c r="B49" s="135"/>
      <c r="C49" s="136"/>
      <c r="D49" s="136"/>
      <c r="E49" s="136"/>
      <c r="F49" s="136"/>
      <c r="G49" s="1715"/>
      <c r="H49" s="1715"/>
      <c r="I49" s="1715"/>
      <c r="J49" s="1715"/>
      <c r="K49" s="1715"/>
      <c r="L49" s="1715"/>
      <c r="M49" s="1715"/>
      <c r="N49" s="1715"/>
      <c r="O49" s="1715"/>
      <c r="P49" s="1715"/>
      <c r="Q49" s="134"/>
    </row>
    <row r="50" spans="2:21" x14ac:dyDescent="0.2">
      <c r="B50" s="135"/>
      <c r="C50" s="1726"/>
      <c r="D50" s="1726"/>
      <c r="E50" s="139"/>
      <c r="F50" s="139"/>
      <c r="G50" s="1715"/>
      <c r="H50" s="1715"/>
      <c r="I50" s="1715"/>
      <c r="J50" s="1715"/>
      <c r="K50" s="1715"/>
      <c r="L50" s="1715"/>
      <c r="M50" s="1715"/>
      <c r="N50" s="1715"/>
      <c r="O50" s="1715"/>
      <c r="P50" s="1715"/>
      <c r="Q50" s="134"/>
      <c r="R50" s="1" t="s">
        <v>0</v>
      </c>
    </row>
    <row r="51" spans="2:21" x14ac:dyDescent="0.2">
      <c r="B51" s="135"/>
      <c r="C51" s="136"/>
      <c r="D51" s="136"/>
      <c r="E51" s="136"/>
      <c r="F51" s="136"/>
      <c r="G51" s="1715"/>
      <c r="H51" s="1715"/>
      <c r="I51" s="1715"/>
      <c r="J51" s="1715"/>
      <c r="K51" s="1715"/>
      <c r="L51" s="1715"/>
      <c r="M51" s="1715"/>
      <c r="N51" s="1715"/>
      <c r="O51" s="1715"/>
      <c r="P51" s="1715"/>
      <c r="Q51" s="134"/>
      <c r="R51" s="1" t="s">
        <v>0</v>
      </c>
    </row>
    <row r="52" spans="2:21" x14ac:dyDescent="0.2">
      <c r="B52" s="135"/>
      <c r="C52" s="136"/>
      <c r="D52" s="136"/>
      <c r="E52" s="136"/>
      <c r="F52" s="136"/>
      <c r="G52" s="1715"/>
      <c r="H52" s="1715"/>
      <c r="I52" s="1715"/>
      <c r="J52" s="1715"/>
      <c r="K52" s="1715"/>
      <c r="L52" s="1715"/>
      <c r="M52" s="1715"/>
      <c r="N52" s="1715"/>
      <c r="O52" s="1715"/>
      <c r="P52" s="1715"/>
      <c r="Q52" s="134"/>
    </row>
    <row r="53" spans="2:21" x14ac:dyDescent="0.2">
      <c r="B53" s="1725"/>
      <c r="C53" s="1725"/>
      <c r="D53" s="1725"/>
      <c r="E53" s="532"/>
      <c r="F53" s="532"/>
      <c r="G53" s="1715"/>
      <c r="H53" s="1715"/>
      <c r="I53" s="1715"/>
      <c r="J53" s="1715"/>
      <c r="K53" s="1715"/>
      <c r="L53" s="1715"/>
      <c r="M53" s="1715"/>
      <c r="N53" s="1715"/>
      <c r="O53" s="1715"/>
      <c r="P53" s="1715"/>
      <c r="Q53" s="134"/>
    </row>
    <row r="54" spans="2:21" x14ac:dyDescent="0.2">
      <c r="B54" s="140"/>
      <c r="C54" s="134"/>
      <c r="D54" s="134"/>
      <c r="E54" s="134"/>
      <c r="F54" s="134"/>
      <c r="G54" s="134"/>
      <c r="H54" s="140"/>
      <c r="I54" s="136"/>
      <c r="J54" s="140"/>
      <c r="K54" s="134"/>
      <c r="L54" s="140"/>
      <c r="M54" s="134"/>
      <c r="N54" s="140"/>
      <c r="O54" s="134"/>
      <c r="P54" s="140"/>
      <c r="Q54" s="134"/>
    </row>
    <row r="55" spans="2:21" x14ac:dyDescent="0.2">
      <c r="B55" s="1727"/>
      <c r="C55" s="1727"/>
      <c r="D55" s="1727"/>
      <c r="E55" s="533"/>
      <c r="F55" s="533"/>
      <c r="G55" s="1721"/>
      <c r="H55" s="1722"/>
      <c r="I55" s="1721"/>
      <c r="J55" s="1722"/>
      <c r="K55" s="1721"/>
      <c r="L55" s="1722"/>
      <c r="M55" s="1721"/>
      <c r="N55" s="1722"/>
      <c r="O55" s="1721"/>
      <c r="P55" s="1722"/>
      <c r="Q55" s="134"/>
    </row>
    <row r="56" spans="2:21" x14ac:dyDescent="0.2">
      <c r="B56" s="1704"/>
      <c r="C56" s="1704"/>
      <c r="D56" s="1704"/>
      <c r="E56" s="116"/>
      <c r="F56" s="116"/>
      <c r="G56" s="1715"/>
      <c r="H56" s="1715"/>
      <c r="I56" s="1715"/>
      <c r="J56" s="1715"/>
      <c r="K56" s="1715"/>
      <c r="L56" s="1715"/>
      <c r="M56" s="1715"/>
      <c r="N56" s="1715"/>
      <c r="O56" s="1715"/>
      <c r="P56" s="1715"/>
      <c r="Q56" s="134"/>
    </row>
    <row r="57" spans="2:21" x14ac:dyDescent="0.2">
      <c r="B57" s="1704"/>
      <c r="C57" s="1704"/>
      <c r="D57" s="1704"/>
      <c r="E57" s="116"/>
      <c r="F57" s="116"/>
      <c r="G57" s="1715"/>
      <c r="H57" s="1715"/>
      <c r="I57" s="1715"/>
      <c r="J57" s="1715"/>
      <c r="K57" s="1715"/>
      <c r="L57" s="1715"/>
      <c r="M57" s="1715"/>
      <c r="N57" s="1715"/>
      <c r="O57" s="1715"/>
      <c r="P57" s="1715"/>
      <c r="Q57" s="134"/>
    </row>
    <row r="58" spans="2:21" x14ac:dyDescent="0.2">
      <c r="B58" s="1704"/>
      <c r="C58" s="1704"/>
      <c r="D58" s="1704"/>
      <c r="E58" s="116"/>
      <c r="F58" s="116"/>
      <c r="G58" s="1715"/>
      <c r="H58" s="1715"/>
      <c r="I58" s="1715"/>
      <c r="J58" s="1715"/>
      <c r="K58" s="1715"/>
      <c r="L58" s="1715"/>
      <c r="M58" s="1715"/>
      <c r="N58" s="1715"/>
      <c r="O58" s="1715"/>
      <c r="P58" s="1715"/>
      <c r="Q58" s="134"/>
    </row>
    <row r="59" spans="2:21" x14ac:dyDescent="0.2">
      <c r="B59" s="1704"/>
      <c r="C59" s="1704"/>
      <c r="D59" s="1704"/>
      <c r="E59" s="116"/>
      <c r="F59" s="116"/>
      <c r="G59" s="1715"/>
      <c r="H59" s="1715"/>
      <c r="I59" s="1715"/>
      <c r="J59" s="1715"/>
      <c r="K59" s="1715"/>
      <c r="L59" s="1715"/>
      <c r="M59" s="1715"/>
      <c r="N59" s="1715"/>
      <c r="O59" s="1715"/>
      <c r="P59" s="1715"/>
      <c r="Q59" s="134"/>
    </row>
    <row r="60" spans="2:21" x14ac:dyDescent="0.2">
      <c r="B60" s="116"/>
      <c r="C60" s="116"/>
      <c r="D60" s="116"/>
      <c r="E60" s="116"/>
      <c r="F60" s="116"/>
      <c r="G60" s="1715"/>
      <c r="H60" s="1715"/>
      <c r="I60" s="156"/>
      <c r="J60" s="137"/>
      <c r="K60" s="137"/>
      <c r="L60" s="137"/>
      <c r="M60" s="137"/>
      <c r="N60" s="137"/>
      <c r="O60" s="137"/>
      <c r="P60" s="137"/>
      <c r="Q60" s="134"/>
    </row>
    <row r="61" spans="2:21" x14ac:dyDescent="0.2">
      <c r="B61" s="1704"/>
      <c r="C61" s="1704"/>
      <c r="D61" s="1704"/>
      <c r="E61" s="116"/>
      <c r="F61" s="116"/>
      <c r="G61" s="1715"/>
      <c r="H61" s="1715"/>
      <c r="I61" s="1715"/>
      <c r="J61" s="1715"/>
      <c r="K61" s="1715"/>
      <c r="L61" s="1715"/>
      <c r="M61" s="1715"/>
      <c r="N61" s="1715"/>
      <c r="O61" s="1715"/>
      <c r="P61" s="1715"/>
      <c r="Q61" s="134"/>
      <c r="U61" s="1" t="s">
        <v>92</v>
      </c>
    </row>
    <row r="62" spans="2:21" x14ac:dyDescent="0.2">
      <c r="B62" s="1704"/>
      <c r="C62" s="1704"/>
      <c r="D62" s="1704"/>
      <c r="E62" s="116"/>
      <c r="F62" s="116"/>
      <c r="G62" s="1715"/>
      <c r="H62" s="1715"/>
      <c r="I62" s="1715"/>
      <c r="J62" s="1715"/>
      <c r="K62" s="1715"/>
      <c r="L62" s="1715"/>
      <c r="M62" s="1715"/>
      <c r="N62" s="1715"/>
      <c r="O62" s="1715"/>
      <c r="P62" s="1715"/>
      <c r="Q62" s="134"/>
    </row>
    <row r="63" spans="2:21" x14ac:dyDescent="0.2">
      <c r="B63" s="1704"/>
      <c r="C63" s="1704"/>
      <c r="D63" s="1704"/>
      <c r="E63" s="116"/>
      <c r="F63" s="116"/>
      <c r="G63" s="1719"/>
      <c r="H63" s="1719"/>
      <c r="I63" s="1719"/>
      <c r="J63" s="1719"/>
      <c r="K63" s="1719"/>
      <c r="L63" s="1719"/>
      <c r="M63" s="1719"/>
      <c r="N63" s="1719"/>
      <c r="O63" s="1719"/>
      <c r="P63" s="1719"/>
      <c r="Q63" s="134"/>
    </row>
    <row r="64" spans="2:21" x14ac:dyDescent="0.2">
      <c r="B64" s="116"/>
      <c r="C64" s="116"/>
      <c r="D64" s="116"/>
      <c r="E64" s="116"/>
      <c r="F64" s="116"/>
      <c r="G64" s="142"/>
      <c r="H64" s="142"/>
      <c r="I64" s="350"/>
      <c r="J64" s="142"/>
      <c r="K64" s="142"/>
      <c r="L64" s="142"/>
      <c r="M64" s="142"/>
      <c r="N64" s="142"/>
      <c r="O64" s="142"/>
      <c r="P64" s="142"/>
      <c r="Q64" s="134"/>
    </row>
    <row r="65" spans="2:17" x14ac:dyDescent="0.2">
      <c r="B65" s="116"/>
      <c r="C65" s="116"/>
      <c r="D65" s="116"/>
      <c r="E65" s="116"/>
      <c r="F65" s="116"/>
      <c r="G65" s="142"/>
      <c r="H65" s="142"/>
      <c r="I65" s="350"/>
      <c r="J65" s="142"/>
      <c r="K65" s="142"/>
      <c r="L65" s="142"/>
      <c r="M65" s="142"/>
      <c r="N65" s="142"/>
      <c r="O65" s="142"/>
      <c r="P65" s="142"/>
      <c r="Q65" s="134"/>
    </row>
    <row r="66" spans="2:17" x14ac:dyDescent="0.2">
      <c r="B66" s="116"/>
      <c r="C66" s="116"/>
      <c r="D66" s="116"/>
      <c r="E66" s="116"/>
      <c r="F66" s="116"/>
      <c r="G66" s="142"/>
      <c r="H66" s="142"/>
      <c r="I66" s="350"/>
      <c r="J66" s="142"/>
      <c r="K66" s="142"/>
      <c r="L66" s="142"/>
      <c r="M66" s="142"/>
      <c r="N66" s="142"/>
      <c r="O66" s="142"/>
      <c r="P66" s="142"/>
      <c r="Q66" s="134"/>
    </row>
    <row r="67" spans="2:17" x14ac:dyDescent="0.2">
      <c r="B67" s="116"/>
      <c r="C67" s="116"/>
      <c r="D67" s="116"/>
      <c r="E67" s="116"/>
      <c r="F67" s="116"/>
      <c r="G67" s="142"/>
      <c r="H67" s="142"/>
      <c r="I67" s="350"/>
      <c r="J67" s="142"/>
      <c r="K67" s="142"/>
      <c r="L67" s="142"/>
      <c r="M67" s="142"/>
      <c r="N67" s="142"/>
      <c r="O67" s="142"/>
      <c r="P67" s="142"/>
      <c r="Q67" s="134"/>
    </row>
    <row r="68" spans="2:17" x14ac:dyDescent="0.2">
      <c r="B68" s="116"/>
      <c r="C68" s="116"/>
      <c r="D68" s="116"/>
      <c r="E68" s="116"/>
      <c r="F68" s="116"/>
      <c r="G68" s="142"/>
      <c r="H68" s="142"/>
      <c r="I68" s="350"/>
      <c r="J68" s="142"/>
      <c r="K68" s="142"/>
      <c r="L68" s="142"/>
      <c r="M68" s="142"/>
      <c r="N68" s="142"/>
      <c r="O68" s="142"/>
      <c r="P68" s="142"/>
      <c r="Q68" s="134"/>
    </row>
    <row r="69" spans="2:17" x14ac:dyDescent="0.2">
      <c r="B69" s="116"/>
      <c r="C69" s="116"/>
      <c r="D69" s="116"/>
      <c r="E69" s="116"/>
      <c r="F69" s="116"/>
      <c r="G69" s="142"/>
      <c r="H69" s="142"/>
      <c r="I69" s="350"/>
      <c r="J69" s="142"/>
      <c r="K69" s="142"/>
      <c r="L69" s="142"/>
      <c r="M69" s="142"/>
      <c r="N69" s="142"/>
      <c r="O69" s="142"/>
      <c r="P69" s="142"/>
      <c r="Q69" s="134"/>
    </row>
    <row r="70" spans="2:17" x14ac:dyDescent="0.2">
      <c r="B70" s="116"/>
      <c r="C70" s="116"/>
      <c r="D70" s="116"/>
      <c r="E70" s="116"/>
      <c r="F70" s="116"/>
      <c r="G70" s="142"/>
      <c r="H70" s="142"/>
      <c r="I70" s="350"/>
      <c r="J70" s="142"/>
      <c r="K70" s="142"/>
      <c r="L70" s="142"/>
      <c r="M70" s="142"/>
      <c r="N70" s="142"/>
      <c r="O70" s="142"/>
      <c r="P70" s="142"/>
      <c r="Q70" s="134"/>
    </row>
    <row r="71" spans="2:17" x14ac:dyDescent="0.2">
      <c r="B71" s="116"/>
      <c r="C71" s="116"/>
      <c r="D71" s="116"/>
      <c r="E71" s="116"/>
      <c r="F71" s="116"/>
      <c r="G71" s="142"/>
      <c r="H71" s="142"/>
      <c r="I71" s="350"/>
      <c r="J71" s="142"/>
      <c r="K71" s="142"/>
      <c r="L71" s="142"/>
      <c r="M71" s="142"/>
      <c r="N71" s="142"/>
      <c r="O71" s="142"/>
      <c r="P71" s="142"/>
      <c r="Q71" s="134"/>
    </row>
    <row r="72" spans="2:17" x14ac:dyDescent="0.2">
      <c r="B72" s="116"/>
      <c r="C72" s="116"/>
      <c r="D72" s="116"/>
      <c r="E72" s="116"/>
      <c r="F72" s="116"/>
      <c r="G72" s="142"/>
      <c r="H72" s="142"/>
      <c r="I72" s="350"/>
      <c r="J72" s="142"/>
      <c r="K72" s="142"/>
      <c r="L72" s="142"/>
      <c r="M72" s="142"/>
      <c r="N72" s="142"/>
      <c r="O72" s="142"/>
      <c r="P72" s="142"/>
      <c r="Q72" s="134"/>
    </row>
    <row r="73" spans="2:17" x14ac:dyDescent="0.2">
      <c r="B73" s="116"/>
      <c r="C73" s="116"/>
      <c r="D73" s="116"/>
      <c r="E73" s="116"/>
      <c r="F73" s="116"/>
      <c r="G73" s="142"/>
      <c r="H73" s="142"/>
      <c r="I73" s="350"/>
      <c r="J73" s="142"/>
      <c r="K73" s="142"/>
      <c r="L73" s="142"/>
      <c r="M73" s="142"/>
      <c r="N73" s="142"/>
      <c r="O73" s="142"/>
      <c r="P73" s="142"/>
      <c r="Q73" s="134"/>
    </row>
    <row r="74" spans="2:17" x14ac:dyDescent="0.2">
      <c r="B74" s="116"/>
      <c r="C74" s="116"/>
      <c r="D74" s="116"/>
      <c r="E74" s="116"/>
      <c r="F74" s="116"/>
      <c r="G74" s="142"/>
      <c r="H74" s="142"/>
      <c r="I74" s="350"/>
      <c r="J74" s="142"/>
      <c r="K74" s="142"/>
      <c r="L74" s="142"/>
      <c r="M74" s="142"/>
      <c r="N74" s="142"/>
      <c r="O74" s="142"/>
      <c r="P74" s="142"/>
      <c r="Q74" s="134"/>
    </row>
    <row r="75" spans="2:17" x14ac:dyDescent="0.2">
      <c r="B75" s="116"/>
      <c r="C75" s="116"/>
      <c r="D75" s="116"/>
      <c r="E75" s="116"/>
      <c r="F75" s="116"/>
      <c r="G75" s="142"/>
      <c r="H75" s="142"/>
      <c r="I75" s="350"/>
      <c r="J75" s="142"/>
      <c r="K75" s="142"/>
      <c r="L75" s="142"/>
      <c r="M75" s="142"/>
      <c r="N75" s="142"/>
      <c r="O75" s="142"/>
      <c r="P75" s="142"/>
      <c r="Q75" s="134"/>
    </row>
    <row r="76" spans="2:17" x14ac:dyDescent="0.2">
      <c r="B76" s="140"/>
      <c r="C76" s="143"/>
      <c r="D76" s="134"/>
      <c r="E76" s="134"/>
      <c r="F76" s="134"/>
      <c r="G76" s="141"/>
      <c r="H76" s="144"/>
      <c r="I76" s="136"/>
      <c r="J76" s="144"/>
      <c r="K76" s="141"/>
      <c r="L76" s="144"/>
      <c r="M76" s="141"/>
      <c r="N76" s="144"/>
      <c r="O76" s="141"/>
      <c r="P76" s="144"/>
      <c r="Q76" s="134"/>
    </row>
    <row r="77" spans="2:17" x14ac:dyDescent="0.2">
      <c r="B77" s="140"/>
      <c r="C77" s="143"/>
      <c r="D77" s="134"/>
      <c r="E77" s="134"/>
      <c r="F77" s="134"/>
      <c r="G77" s="134"/>
      <c r="H77" s="140"/>
      <c r="I77" s="136"/>
      <c r="J77" s="140"/>
      <c r="K77" s="134"/>
      <c r="L77" s="140"/>
      <c r="M77" s="134"/>
      <c r="N77" s="140"/>
      <c r="O77" s="134"/>
      <c r="P77" s="140"/>
      <c r="Q77" s="134"/>
    </row>
    <row r="78" spans="2:17" x14ac:dyDescent="0.2">
      <c r="B78" s="140"/>
      <c r="C78" s="143"/>
      <c r="D78" s="134"/>
      <c r="E78" s="134"/>
      <c r="F78" s="134"/>
      <c r="G78" s="134"/>
      <c r="H78" s="140"/>
      <c r="I78" s="136"/>
      <c r="J78" s="140"/>
      <c r="K78" s="134"/>
      <c r="L78" s="140"/>
      <c r="M78" s="134"/>
      <c r="N78" s="140"/>
      <c r="O78" s="134"/>
      <c r="P78" s="140"/>
      <c r="Q78" s="134"/>
    </row>
    <row r="79" spans="2:17" x14ac:dyDescent="0.2">
      <c r="B79" s="145"/>
      <c r="C79" s="143"/>
      <c r="D79" s="143"/>
      <c r="E79" s="143"/>
      <c r="F79" s="143"/>
      <c r="G79" s="143"/>
      <c r="H79" s="145"/>
      <c r="I79" s="351"/>
      <c r="J79" s="145"/>
      <c r="K79" s="143"/>
      <c r="L79" s="145"/>
      <c r="M79" s="143"/>
      <c r="N79" s="145"/>
      <c r="O79" s="143"/>
      <c r="P79" s="145"/>
      <c r="Q79" s="134"/>
    </row>
    <row r="80" spans="2:17" x14ac:dyDescent="0.2">
      <c r="B80" s="1704"/>
      <c r="C80" s="1704"/>
      <c r="D80" s="1704"/>
      <c r="E80" s="116"/>
      <c r="F80" s="116"/>
      <c r="G80" s="1718"/>
      <c r="H80" s="1718"/>
      <c r="I80" s="1718"/>
      <c r="J80" s="1718"/>
      <c r="K80" s="1718"/>
      <c r="L80" s="1723"/>
      <c r="M80" s="1722"/>
      <c r="N80" s="1722"/>
      <c r="O80" s="140"/>
      <c r="P80" s="140"/>
      <c r="Q80" s="134"/>
    </row>
    <row r="81" spans="2:17" x14ac:dyDescent="0.2">
      <c r="B81" s="144"/>
      <c r="C81" s="116"/>
      <c r="D81" s="116"/>
      <c r="E81" s="116"/>
      <c r="F81" s="116"/>
      <c r="G81" s="146"/>
      <c r="H81" s="148"/>
      <c r="I81" s="324"/>
      <c r="J81" s="148"/>
      <c r="K81" s="146"/>
      <c r="L81" s="147"/>
      <c r="M81" s="140"/>
      <c r="N81" s="140"/>
      <c r="O81" s="140"/>
      <c r="P81" s="140"/>
      <c r="Q81" s="134"/>
    </row>
    <row r="82" spans="2:17" x14ac:dyDescent="0.2">
      <c r="B82" s="144"/>
      <c r="C82" s="116"/>
      <c r="D82" s="116"/>
      <c r="E82" s="116"/>
      <c r="F82" s="116"/>
      <c r="G82" s="146"/>
      <c r="H82" s="148"/>
      <c r="I82" s="324"/>
      <c r="J82" s="148"/>
      <c r="K82" s="146"/>
      <c r="L82" s="147"/>
      <c r="M82" s="140"/>
      <c r="N82" s="140"/>
      <c r="O82" s="140"/>
      <c r="P82" s="140"/>
      <c r="Q82" s="134"/>
    </row>
    <row r="83" spans="2:17" x14ac:dyDescent="0.2">
      <c r="B83" s="144"/>
      <c r="C83" s="116"/>
      <c r="D83" s="116"/>
      <c r="E83" s="116"/>
      <c r="F83" s="116"/>
      <c r="G83" s="146"/>
      <c r="H83" s="148"/>
      <c r="I83" s="324"/>
      <c r="J83" s="148"/>
      <c r="K83" s="146"/>
      <c r="L83" s="147"/>
      <c r="M83" s="140"/>
      <c r="N83" s="140"/>
      <c r="O83" s="140"/>
      <c r="P83" s="140"/>
      <c r="Q83" s="134"/>
    </row>
    <row r="84" spans="2:17" ht="18" x14ac:dyDescent="0.2">
      <c r="B84" s="144"/>
      <c r="C84" s="116"/>
      <c r="D84" s="149"/>
      <c r="E84" s="149"/>
      <c r="F84" s="149"/>
      <c r="G84" s="134"/>
      <c r="H84" s="148"/>
      <c r="I84" s="324"/>
      <c r="J84" s="148"/>
      <c r="K84" s="146"/>
      <c r="L84" s="147"/>
      <c r="M84" s="140"/>
      <c r="N84" s="140"/>
      <c r="O84" s="140"/>
      <c r="P84" s="140"/>
      <c r="Q84" s="134"/>
    </row>
    <row r="85" spans="2:17" ht="18" x14ac:dyDescent="0.2">
      <c r="B85" s="144"/>
      <c r="C85" s="116"/>
      <c r="D85" s="149"/>
      <c r="E85" s="149"/>
      <c r="F85" s="149"/>
      <c r="G85" s="134"/>
      <c r="H85" s="148"/>
      <c r="I85" s="324"/>
      <c r="J85" s="148"/>
      <c r="K85" s="146"/>
      <c r="L85" s="147"/>
      <c r="M85" s="140"/>
      <c r="N85" s="140"/>
      <c r="O85" s="140"/>
      <c r="P85" s="140"/>
      <c r="Q85" s="134"/>
    </row>
    <row r="86" spans="2:17" x14ac:dyDescent="0.2">
      <c r="B86" s="140"/>
      <c r="C86" s="134"/>
      <c r="D86" s="134"/>
      <c r="E86" s="134"/>
      <c r="F86" s="134"/>
      <c r="G86" s="134"/>
      <c r="H86" s="140"/>
      <c r="I86" s="136"/>
      <c r="J86" s="140"/>
      <c r="K86" s="134"/>
      <c r="L86" s="140"/>
      <c r="M86" s="134"/>
      <c r="N86" s="140"/>
      <c r="O86" s="134"/>
      <c r="P86" s="140"/>
      <c r="Q86" s="134"/>
    </row>
    <row r="87" spans="2:17" x14ac:dyDescent="0.2">
      <c r="B87" s="140"/>
      <c r="C87" s="134"/>
      <c r="D87" s="134"/>
      <c r="E87" s="134"/>
      <c r="F87" s="134"/>
      <c r="G87" s="134"/>
      <c r="H87" s="140"/>
      <c r="I87" s="136"/>
      <c r="J87" s="140"/>
      <c r="K87" s="134"/>
      <c r="L87" s="140"/>
      <c r="M87" s="134"/>
      <c r="N87" s="140"/>
      <c r="O87" s="134"/>
      <c r="P87" s="140"/>
      <c r="Q87" s="134"/>
    </row>
    <row r="88" spans="2:17" x14ac:dyDescent="0.2">
      <c r="B88" s="140"/>
      <c r="C88" s="134"/>
      <c r="D88" s="134"/>
      <c r="E88" s="134"/>
      <c r="F88" s="134"/>
      <c r="G88" s="134"/>
      <c r="H88" s="140"/>
      <c r="I88" s="136"/>
      <c r="J88" s="140"/>
      <c r="K88" s="134"/>
      <c r="L88" s="140"/>
      <c r="M88" s="134"/>
      <c r="N88" s="140"/>
      <c r="O88" s="134"/>
      <c r="P88" s="140"/>
      <c r="Q88" s="134"/>
    </row>
    <row r="89" spans="2:17" x14ac:dyDescent="0.2">
      <c r="B89" s="140"/>
      <c r="C89" s="134"/>
      <c r="D89" s="134"/>
      <c r="E89" s="134"/>
      <c r="F89" s="134"/>
      <c r="G89" s="134"/>
      <c r="H89" s="140"/>
      <c r="I89" s="136"/>
      <c r="J89" s="140"/>
      <c r="K89" s="134"/>
      <c r="L89" s="140"/>
      <c r="M89" s="134"/>
      <c r="N89" s="140"/>
      <c r="O89" s="134"/>
      <c r="P89" s="140"/>
      <c r="Q89" s="134"/>
    </row>
    <row r="90" spans="2:17" x14ac:dyDescent="0.2">
      <c r="B90" s="140"/>
      <c r="C90" s="134"/>
      <c r="D90" s="134"/>
      <c r="E90" s="134"/>
      <c r="F90" s="134"/>
      <c r="G90" s="134"/>
      <c r="H90" s="140"/>
      <c r="I90" s="136"/>
      <c r="J90" s="140"/>
      <c r="K90" s="134"/>
      <c r="L90" s="140"/>
      <c r="M90" s="134"/>
      <c r="N90" s="140"/>
      <c r="O90" s="134"/>
      <c r="P90" s="140"/>
      <c r="Q90" s="134"/>
    </row>
    <row r="91" spans="2:17" x14ac:dyDescent="0.2">
      <c r="B91" s="140"/>
      <c r="C91" s="134"/>
      <c r="D91" s="134"/>
      <c r="E91" s="134"/>
      <c r="F91" s="134"/>
      <c r="G91" s="134"/>
      <c r="H91" s="140"/>
      <c r="I91" s="136"/>
      <c r="J91" s="140"/>
      <c r="K91" s="134"/>
      <c r="L91" s="140"/>
      <c r="M91" s="134"/>
      <c r="N91" s="140"/>
      <c r="O91" s="134"/>
      <c r="P91" s="140"/>
      <c r="Q91" s="134"/>
    </row>
    <row r="92" spans="2:17" x14ac:dyDescent="0.2">
      <c r="B92" s="140"/>
      <c r="C92" s="134"/>
      <c r="D92" s="134"/>
      <c r="E92" s="134"/>
      <c r="F92" s="134"/>
      <c r="G92" s="134"/>
      <c r="H92" s="140"/>
      <c r="I92" s="136"/>
      <c r="J92" s="140"/>
      <c r="K92" s="134"/>
      <c r="L92" s="140"/>
      <c r="M92" s="134"/>
      <c r="N92" s="140"/>
      <c r="O92" s="134"/>
      <c r="P92" s="140"/>
      <c r="Q92" s="134"/>
    </row>
    <row r="93" spans="2:17" x14ac:dyDescent="0.2">
      <c r="B93" s="140"/>
      <c r="C93" s="134"/>
      <c r="D93" s="134"/>
      <c r="E93" s="134"/>
      <c r="F93" s="134"/>
      <c r="G93" s="134"/>
      <c r="H93" s="140"/>
      <c r="I93" s="136"/>
      <c r="J93" s="140"/>
      <c r="K93" s="134"/>
      <c r="L93" s="140"/>
      <c r="M93" s="134"/>
      <c r="N93" s="140"/>
      <c r="O93" s="134"/>
      <c r="P93" s="140"/>
      <c r="Q93" s="134"/>
    </row>
    <row r="94" spans="2:17" x14ac:dyDescent="0.2">
      <c r="B94" s="140"/>
      <c r="C94" s="134"/>
      <c r="D94" s="134"/>
      <c r="E94" s="134"/>
      <c r="F94" s="134"/>
      <c r="G94" s="134"/>
      <c r="H94" s="140"/>
      <c r="I94" s="136"/>
      <c r="J94" s="140"/>
      <c r="K94" s="134"/>
      <c r="L94" s="140"/>
      <c r="M94" s="134"/>
      <c r="N94" s="140"/>
      <c r="O94" s="134"/>
      <c r="P94" s="140"/>
      <c r="Q94" s="134"/>
    </row>
    <row r="95" spans="2:17" x14ac:dyDescent="0.2">
      <c r="B95" s="140"/>
      <c r="C95" s="134"/>
      <c r="D95" s="134"/>
      <c r="E95" s="134"/>
      <c r="F95" s="134"/>
      <c r="G95" s="134"/>
      <c r="H95" s="140"/>
      <c r="I95" s="136"/>
      <c r="J95" s="140"/>
      <c r="K95" s="134"/>
      <c r="L95" s="140"/>
      <c r="M95" s="134"/>
      <c r="N95" s="140"/>
      <c r="O95" s="134"/>
      <c r="P95" s="140"/>
      <c r="Q95" s="134"/>
    </row>
    <row r="96" spans="2:17" x14ac:dyDescent="0.2">
      <c r="B96" s="140"/>
      <c r="C96" s="134"/>
      <c r="D96" s="134"/>
      <c r="E96" s="134"/>
      <c r="F96" s="134"/>
      <c r="G96" s="134"/>
      <c r="H96" s="140"/>
      <c r="I96" s="136"/>
      <c r="J96" s="140"/>
      <c r="K96" s="134"/>
      <c r="L96" s="140"/>
      <c r="M96" s="134"/>
      <c r="N96" s="140"/>
      <c r="O96" s="134"/>
      <c r="P96" s="140"/>
      <c r="Q96" s="134"/>
    </row>
    <row r="97" spans="2:17" x14ac:dyDescent="0.2">
      <c r="B97" s="140"/>
      <c r="C97" s="134"/>
      <c r="D97" s="134"/>
      <c r="E97" s="134"/>
      <c r="F97" s="134"/>
      <c r="G97" s="134"/>
      <c r="H97" s="140"/>
      <c r="I97" s="136"/>
      <c r="J97" s="140"/>
      <c r="K97" s="134"/>
      <c r="L97" s="140"/>
      <c r="M97" s="134"/>
      <c r="N97" s="140"/>
      <c r="O97" s="134"/>
      <c r="P97" s="140"/>
      <c r="Q97" s="134"/>
    </row>
    <row r="98" spans="2:17" x14ac:dyDescent="0.2">
      <c r="B98" s="140"/>
      <c r="C98" s="134"/>
      <c r="D98" s="134"/>
      <c r="E98" s="134"/>
      <c r="F98" s="134"/>
      <c r="G98" s="134"/>
      <c r="H98" s="140"/>
      <c r="I98" s="136"/>
      <c r="J98" s="140"/>
      <c r="K98" s="134"/>
      <c r="L98" s="140"/>
      <c r="M98" s="134"/>
      <c r="N98" s="140"/>
      <c r="O98" s="134"/>
      <c r="P98" s="140"/>
      <c r="Q98" s="134"/>
    </row>
    <row r="99" spans="2:17" x14ac:dyDescent="0.2">
      <c r="B99" s="140"/>
      <c r="C99" s="134"/>
      <c r="D99" s="134"/>
      <c r="E99" s="134"/>
      <c r="F99" s="134"/>
      <c r="G99" s="134"/>
      <c r="H99" s="140"/>
      <c r="I99" s="136"/>
      <c r="J99" s="140"/>
      <c r="K99" s="134"/>
      <c r="L99" s="140"/>
      <c r="M99" s="134"/>
      <c r="N99" s="140"/>
      <c r="O99" s="134"/>
      <c r="P99" s="140"/>
      <c r="Q99" s="134"/>
    </row>
    <row r="100" spans="2:17" x14ac:dyDescent="0.2">
      <c r="B100" s="140"/>
      <c r="C100" s="134"/>
      <c r="D100" s="134"/>
      <c r="E100" s="134"/>
      <c r="F100" s="134"/>
      <c r="G100" s="134"/>
      <c r="H100" s="140"/>
      <c r="I100" s="136"/>
      <c r="J100" s="140"/>
      <c r="K100" s="134"/>
      <c r="L100" s="140"/>
      <c r="M100" s="134"/>
      <c r="N100" s="140"/>
      <c r="O100" s="134"/>
      <c r="P100" s="140"/>
      <c r="Q100" s="134"/>
    </row>
    <row r="101" spans="2:17" x14ac:dyDescent="0.2">
      <c r="B101" s="140"/>
      <c r="C101" s="134"/>
      <c r="D101" s="134"/>
      <c r="E101" s="134"/>
      <c r="F101" s="134"/>
      <c r="G101" s="134"/>
      <c r="H101" s="140"/>
      <c r="I101" s="136"/>
      <c r="J101" s="140"/>
      <c r="K101" s="134"/>
      <c r="L101" s="140"/>
      <c r="M101" s="134"/>
      <c r="N101" s="140"/>
      <c r="O101" s="134"/>
      <c r="P101" s="140"/>
      <c r="Q101" s="134"/>
    </row>
    <row r="102" spans="2:17" x14ac:dyDescent="0.2">
      <c r="B102" s="140"/>
      <c r="C102" s="134"/>
      <c r="D102" s="134"/>
      <c r="E102" s="134"/>
      <c r="F102" s="134"/>
      <c r="G102" s="134"/>
      <c r="H102" s="140"/>
      <c r="I102" s="136"/>
      <c r="J102" s="140"/>
      <c r="K102" s="134"/>
      <c r="L102" s="140"/>
      <c r="M102" s="134"/>
      <c r="N102" s="140"/>
      <c r="O102" s="134"/>
      <c r="P102" s="140"/>
      <c r="Q102" s="134"/>
    </row>
    <row r="103" spans="2:17" x14ac:dyDescent="0.2">
      <c r="B103" s="140"/>
      <c r="C103" s="134"/>
      <c r="D103" s="134"/>
      <c r="E103" s="134"/>
      <c r="F103" s="134"/>
      <c r="G103" s="134"/>
      <c r="H103" s="140"/>
      <c r="I103" s="136"/>
      <c r="J103" s="140"/>
      <c r="K103" s="134"/>
      <c r="L103" s="140"/>
      <c r="M103" s="134"/>
      <c r="N103" s="140"/>
      <c r="O103" s="134"/>
      <c r="P103" s="140"/>
      <c r="Q103" s="134"/>
    </row>
    <row r="104" spans="2:17" x14ac:dyDescent="0.2">
      <c r="B104" s="140"/>
      <c r="C104" s="134"/>
      <c r="D104" s="134"/>
      <c r="E104" s="134"/>
      <c r="F104" s="134"/>
      <c r="G104" s="134"/>
      <c r="H104" s="140"/>
      <c r="I104" s="136"/>
      <c r="J104" s="140"/>
      <c r="K104" s="134"/>
      <c r="L104" s="140"/>
      <c r="M104" s="134"/>
      <c r="N104" s="140"/>
      <c r="O104" s="134"/>
      <c r="P104" s="140"/>
      <c r="Q104" s="134"/>
    </row>
    <row r="105" spans="2:17" x14ac:dyDescent="0.2">
      <c r="B105" s="140"/>
      <c r="C105" s="134"/>
      <c r="D105" s="134"/>
      <c r="E105" s="134"/>
      <c r="F105" s="134"/>
      <c r="G105" s="134"/>
      <c r="H105" s="140"/>
      <c r="I105" s="136"/>
      <c r="J105" s="140"/>
      <c r="K105" s="134"/>
      <c r="L105" s="140"/>
      <c r="M105" s="134"/>
      <c r="N105" s="140"/>
      <c r="O105" s="134"/>
      <c r="P105" s="140"/>
      <c r="Q105" s="134"/>
    </row>
    <row r="106" spans="2:17" x14ac:dyDescent="0.2">
      <c r="B106" s="140"/>
      <c r="C106" s="134"/>
      <c r="D106" s="134"/>
      <c r="E106" s="134"/>
      <c r="F106" s="134"/>
      <c r="G106" s="134"/>
      <c r="H106" s="140"/>
      <c r="I106" s="136"/>
      <c r="J106" s="140"/>
      <c r="K106" s="134"/>
      <c r="L106" s="140"/>
      <c r="M106" s="134"/>
      <c r="N106" s="140"/>
      <c r="O106" s="134"/>
      <c r="P106" s="140"/>
      <c r="Q106" s="134"/>
    </row>
    <row r="107" spans="2:17" x14ac:dyDescent="0.2">
      <c r="B107" s="140"/>
      <c r="C107" s="134"/>
      <c r="D107" s="134"/>
      <c r="E107" s="134"/>
      <c r="F107" s="134"/>
      <c r="G107" s="134"/>
      <c r="H107" s="140"/>
      <c r="I107" s="136"/>
      <c r="J107" s="140"/>
      <c r="K107" s="134"/>
      <c r="L107" s="140"/>
      <c r="M107" s="134"/>
      <c r="N107" s="140"/>
      <c r="O107" s="134"/>
      <c r="P107" s="140"/>
      <c r="Q107" s="134"/>
    </row>
    <row r="108" spans="2:17" x14ac:dyDescent="0.2">
      <c r="B108" s="140"/>
      <c r="C108" s="134"/>
      <c r="D108" s="134"/>
      <c r="E108" s="134"/>
      <c r="F108" s="134"/>
      <c r="G108" s="134"/>
      <c r="H108" s="140"/>
      <c r="I108" s="136"/>
      <c r="J108" s="140"/>
      <c r="K108" s="134"/>
      <c r="L108" s="140"/>
      <c r="M108" s="134"/>
      <c r="N108" s="140"/>
      <c r="O108" s="134"/>
      <c r="P108" s="140"/>
      <c r="Q108" s="134"/>
    </row>
    <row r="109" spans="2:17" x14ac:dyDescent="0.2">
      <c r="B109" s="140"/>
      <c r="C109" s="134"/>
      <c r="D109" s="134"/>
      <c r="E109" s="134"/>
      <c r="F109" s="134"/>
      <c r="G109" s="134"/>
      <c r="H109" s="140"/>
      <c r="I109" s="136"/>
      <c r="J109" s="140"/>
      <c r="K109" s="134"/>
      <c r="L109" s="140"/>
      <c r="M109" s="134"/>
      <c r="N109" s="140"/>
      <c r="O109" s="134"/>
      <c r="P109" s="140"/>
      <c r="Q109" s="134"/>
    </row>
    <row r="110" spans="2:17" x14ac:dyDescent="0.2">
      <c r="B110" s="140"/>
      <c r="C110" s="134"/>
      <c r="D110" s="134"/>
      <c r="E110" s="134"/>
      <c r="F110" s="134"/>
      <c r="G110" s="134"/>
      <c r="H110" s="140"/>
      <c r="I110" s="136"/>
      <c r="J110" s="140"/>
      <c r="K110" s="134"/>
      <c r="L110" s="140"/>
      <c r="M110" s="134"/>
      <c r="N110" s="140"/>
      <c r="O110" s="134"/>
      <c r="P110" s="140"/>
      <c r="Q110" s="134"/>
    </row>
    <row r="111" spans="2:17" x14ac:dyDescent="0.2">
      <c r="B111" s="140"/>
      <c r="C111" s="134"/>
      <c r="D111" s="134"/>
      <c r="E111" s="134"/>
      <c r="F111" s="134"/>
      <c r="G111" s="134"/>
      <c r="H111" s="140"/>
      <c r="I111" s="136"/>
      <c r="J111" s="140"/>
      <c r="K111" s="134"/>
      <c r="L111" s="140"/>
      <c r="M111" s="134"/>
      <c r="N111" s="140"/>
      <c r="O111" s="134"/>
      <c r="P111" s="140"/>
      <c r="Q111" s="134"/>
    </row>
    <row r="112" spans="2:17" x14ac:dyDescent="0.2">
      <c r="B112" s="140"/>
      <c r="C112" s="134"/>
      <c r="D112" s="134"/>
      <c r="E112" s="134"/>
      <c r="F112" s="134"/>
      <c r="G112" s="134"/>
      <c r="H112" s="140"/>
      <c r="I112" s="136"/>
      <c r="J112" s="140"/>
      <c r="K112" s="134"/>
      <c r="L112" s="140"/>
      <c r="M112" s="134"/>
      <c r="N112" s="140"/>
      <c r="O112" s="134"/>
      <c r="P112" s="140"/>
      <c r="Q112" s="134"/>
    </row>
    <row r="113" spans="2:17" x14ac:dyDescent="0.2">
      <c r="B113" s="140"/>
      <c r="C113" s="134"/>
      <c r="D113" s="134"/>
      <c r="E113" s="134"/>
      <c r="F113" s="134"/>
      <c r="G113" s="134"/>
      <c r="H113" s="140"/>
      <c r="I113" s="136"/>
      <c r="J113" s="140"/>
      <c r="K113" s="134"/>
      <c r="L113" s="140"/>
      <c r="M113" s="134"/>
      <c r="N113" s="140"/>
      <c r="O113" s="134"/>
      <c r="P113" s="140"/>
      <c r="Q113" s="134"/>
    </row>
    <row r="114" spans="2:17" x14ac:dyDescent="0.2">
      <c r="B114" s="140"/>
      <c r="C114" s="1731"/>
      <c r="D114" s="1732"/>
      <c r="E114" s="1732"/>
      <c r="F114" s="1732"/>
      <c r="G114" s="1732"/>
      <c r="H114" s="1713"/>
      <c r="I114" s="1713"/>
      <c r="J114" s="1713"/>
      <c r="K114" s="1713"/>
      <c r="L114" s="1713"/>
      <c r="M114" s="1713"/>
      <c r="N114" s="138"/>
      <c r="O114" s="138"/>
      <c r="P114" s="138"/>
      <c r="Q114" s="138"/>
    </row>
    <row r="115" spans="2:17" x14ac:dyDescent="0.2">
      <c r="B115" s="140"/>
      <c r="C115" s="1732"/>
      <c r="D115" s="1732"/>
      <c r="E115" s="1732"/>
      <c r="F115" s="1732"/>
      <c r="G115" s="1732"/>
      <c r="H115" s="1714"/>
      <c r="I115" s="1714"/>
      <c r="J115" s="1714"/>
      <c r="K115" s="1714"/>
      <c r="L115" s="1714"/>
      <c r="M115" s="1714"/>
      <c r="N115" s="150"/>
      <c r="O115" s="150"/>
      <c r="P115" s="150"/>
      <c r="Q115" s="150"/>
    </row>
    <row r="116" spans="2:17" x14ac:dyDescent="0.2">
      <c r="B116" s="140"/>
      <c r="C116" s="151"/>
      <c r="D116" s="1726"/>
      <c r="E116" s="1726"/>
      <c r="F116" s="1726"/>
      <c r="G116" s="1726"/>
      <c r="H116" s="1711"/>
      <c r="I116" s="1711"/>
      <c r="J116" s="1711"/>
      <c r="K116" s="1711"/>
      <c r="L116" s="1711"/>
      <c r="M116" s="1711"/>
      <c r="N116" s="152"/>
      <c r="O116" s="152"/>
      <c r="P116" s="152"/>
      <c r="Q116" s="152"/>
    </row>
    <row r="117" spans="2:17" x14ac:dyDescent="0.2">
      <c r="B117" s="140"/>
      <c r="C117" s="151"/>
      <c r="D117" s="139"/>
      <c r="E117" s="139"/>
      <c r="F117" s="139"/>
      <c r="G117" s="153"/>
      <c r="H117" s="1711"/>
      <c r="I117" s="1711"/>
      <c r="J117" s="1711"/>
      <c r="K117" s="1712"/>
      <c r="L117" s="1711"/>
      <c r="M117" s="1712"/>
      <c r="N117" s="152"/>
      <c r="O117" s="152"/>
      <c r="P117" s="152"/>
      <c r="Q117" s="154"/>
    </row>
    <row r="118" spans="2:17" x14ac:dyDescent="0.2">
      <c r="B118" s="140"/>
      <c r="C118" s="151"/>
      <c r="D118" s="139"/>
      <c r="E118" s="139"/>
      <c r="F118" s="139"/>
      <c r="G118" s="153"/>
      <c r="H118" s="1711"/>
      <c r="I118" s="1711"/>
      <c r="J118" s="1711"/>
      <c r="K118" s="1712"/>
      <c r="L118" s="1711"/>
      <c r="M118" s="1712"/>
      <c r="N118" s="152"/>
      <c r="O118" s="152"/>
      <c r="P118" s="152"/>
      <c r="Q118" s="154"/>
    </row>
    <row r="119" spans="2:17" x14ac:dyDescent="0.2">
      <c r="B119" s="140"/>
      <c r="C119" s="151"/>
      <c r="D119" s="139"/>
      <c r="E119" s="139"/>
      <c r="F119" s="139"/>
      <c r="G119" s="153"/>
      <c r="H119" s="1711"/>
      <c r="I119" s="1711"/>
      <c r="J119" s="1711"/>
      <c r="K119" s="1712"/>
      <c r="L119" s="1711"/>
      <c r="M119" s="1712"/>
      <c r="N119" s="152"/>
      <c r="O119" s="152"/>
      <c r="P119" s="152"/>
      <c r="Q119" s="154"/>
    </row>
    <row r="120" spans="2:17" x14ac:dyDescent="0.2">
      <c r="B120" s="140"/>
      <c r="C120" s="151"/>
      <c r="D120" s="139"/>
      <c r="E120" s="139"/>
      <c r="F120" s="139"/>
      <c r="G120" s="153"/>
      <c r="H120" s="1711"/>
      <c r="I120" s="1711"/>
      <c r="J120" s="1702"/>
      <c r="K120" s="1702"/>
      <c r="L120" s="1702"/>
      <c r="M120" s="1702"/>
      <c r="N120" s="155"/>
      <c r="O120" s="155"/>
      <c r="P120" s="155"/>
      <c r="Q120" s="155"/>
    </row>
    <row r="121" spans="2:17" x14ac:dyDescent="0.2">
      <c r="B121" s="140"/>
      <c r="C121" s="151"/>
      <c r="D121" s="1726"/>
      <c r="E121" s="1726"/>
      <c r="F121" s="1726"/>
      <c r="G121" s="1726"/>
      <c r="H121" s="1711"/>
      <c r="I121" s="1711"/>
      <c r="J121" s="1730"/>
      <c r="K121" s="1730"/>
      <c r="L121" s="1730"/>
      <c r="M121" s="1730"/>
      <c r="N121" s="156"/>
      <c r="O121" s="156"/>
      <c r="P121" s="156"/>
      <c r="Q121" s="156"/>
    </row>
    <row r="122" spans="2:17" x14ac:dyDescent="0.2">
      <c r="B122" s="140"/>
      <c r="C122" s="151"/>
      <c r="D122" s="1703"/>
      <c r="E122" s="1703"/>
      <c r="F122" s="1703"/>
      <c r="G122" s="1703"/>
      <c r="H122" s="1711"/>
      <c r="I122" s="1712"/>
      <c r="J122" s="1711"/>
      <c r="K122" s="1712"/>
      <c r="L122" s="1711"/>
      <c r="M122" s="1712"/>
      <c r="N122" s="152"/>
      <c r="O122" s="152"/>
      <c r="P122" s="152"/>
      <c r="Q122" s="154"/>
    </row>
    <row r="123" spans="2:17" x14ac:dyDescent="0.2">
      <c r="B123" s="140"/>
      <c r="C123" s="1731"/>
      <c r="D123" s="1732"/>
      <c r="E123" s="1732"/>
      <c r="F123" s="1732"/>
      <c r="G123" s="1732"/>
      <c r="H123" s="1713"/>
      <c r="I123" s="1713"/>
      <c r="J123" s="1713"/>
      <c r="K123" s="1713"/>
      <c r="L123" s="1713"/>
      <c r="M123" s="1713"/>
      <c r="N123" s="138"/>
      <c r="O123" s="138"/>
      <c r="P123" s="138"/>
      <c r="Q123" s="138"/>
    </row>
    <row r="124" spans="2:17" x14ac:dyDescent="0.2">
      <c r="B124" s="140"/>
      <c r="C124" s="1732"/>
      <c r="D124" s="1732"/>
      <c r="E124" s="1732"/>
      <c r="F124" s="1732"/>
      <c r="G124" s="1732"/>
      <c r="H124" s="1714"/>
      <c r="I124" s="1714"/>
      <c r="J124" s="1714"/>
      <c r="K124" s="1714"/>
      <c r="L124" s="1714"/>
      <c r="M124" s="1714"/>
      <c r="N124" s="150"/>
      <c r="O124" s="150"/>
      <c r="P124" s="150"/>
      <c r="Q124" s="150"/>
    </row>
    <row r="125" spans="2:17" x14ac:dyDescent="0.2">
      <c r="B125" s="140"/>
      <c r="C125" s="151"/>
      <c r="D125" s="136"/>
      <c r="E125" s="136"/>
      <c r="F125" s="136"/>
      <c r="G125" s="157"/>
      <c r="H125" s="1711"/>
      <c r="I125" s="1712"/>
      <c r="J125" s="1711"/>
      <c r="K125" s="1712"/>
      <c r="L125" s="1711"/>
      <c r="M125" s="1712"/>
      <c r="N125" s="152"/>
      <c r="O125" s="152"/>
      <c r="P125" s="152"/>
      <c r="Q125" s="154"/>
    </row>
    <row r="126" spans="2:17" x14ac:dyDescent="0.2">
      <c r="B126" s="140"/>
      <c r="C126" s="151"/>
      <c r="D126" s="136"/>
      <c r="E126" s="136"/>
      <c r="F126" s="136"/>
      <c r="G126" s="157"/>
      <c r="H126" s="1711"/>
      <c r="I126" s="1712"/>
      <c r="J126" s="1711"/>
      <c r="K126" s="1712"/>
      <c r="L126" s="1711"/>
      <c r="M126" s="1712"/>
      <c r="N126" s="152"/>
      <c r="O126" s="152"/>
      <c r="P126" s="152"/>
      <c r="Q126" s="154"/>
    </row>
    <row r="127" spans="2:17" x14ac:dyDescent="0.2">
      <c r="B127" s="140"/>
      <c r="C127" s="151"/>
      <c r="D127" s="136"/>
      <c r="E127" s="136"/>
      <c r="F127" s="136"/>
      <c r="G127" s="157"/>
      <c r="H127" s="1730"/>
      <c r="I127" s="1730"/>
      <c r="J127" s="1711"/>
      <c r="K127" s="1712"/>
      <c r="L127" s="1711"/>
      <c r="M127" s="1712"/>
      <c r="N127" s="152"/>
      <c r="O127" s="152"/>
      <c r="P127" s="152"/>
      <c r="Q127" s="154"/>
    </row>
    <row r="128" spans="2:17" x14ac:dyDescent="0.2">
      <c r="B128" s="140"/>
      <c r="C128" s="151"/>
      <c r="D128" s="136"/>
      <c r="E128" s="136"/>
      <c r="F128" s="136"/>
      <c r="G128" s="157"/>
      <c r="H128" s="1711"/>
      <c r="I128" s="1712"/>
      <c r="J128" s="1711"/>
      <c r="K128" s="1712"/>
      <c r="L128" s="1711"/>
      <c r="M128" s="1712"/>
      <c r="N128" s="152"/>
      <c r="O128" s="152"/>
      <c r="P128" s="152"/>
      <c r="Q128" s="154"/>
    </row>
    <row r="129" spans="2:17" x14ac:dyDescent="0.2">
      <c r="B129" s="140"/>
      <c r="C129" s="151"/>
      <c r="D129" s="136"/>
      <c r="E129" s="136"/>
      <c r="F129" s="136"/>
      <c r="G129" s="157"/>
      <c r="H129" s="1711"/>
      <c r="I129" s="1712"/>
      <c r="J129" s="1711"/>
      <c r="K129" s="1712"/>
      <c r="L129" s="1711"/>
      <c r="M129" s="1712"/>
      <c r="N129" s="152"/>
      <c r="O129" s="152"/>
      <c r="P129" s="152"/>
      <c r="Q129" s="154"/>
    </row>
  </sheetData>
  <sheetProtection algorithmName="SHA-512" hashValue="fp/NLrtWK/CmKLZx00XWbCYtQ7iYw2B8UdnHnmfIgyy85u35f1KGQ7nvhOv8JQJNOEpAeZ3A3wiZ7jbAbLeiBw==" saltValue="SPv+V3qW7VPORsU7eMcGdw==" spinCount="100000" sheet="1" objects="1" scenarios="1"/>
  <mergeCells count="218"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G14" sqref="G14"/>
    </sheetView>
  </sheetViews>
  <sheetFormatPr defaultRowHeight="12.75" x14ac:dyDescent="0.2"/>
  <cols>
    <col min="1" max="1" width="11.28515625" style="42" customWidth="1"/>
    <col min="2" max="2" width="3.42578125" customWidth="1"/>
    <col min="3" max="3" width="18.42578125" customWidth="1"/>
    <col min="4" max="4" width="10" customWidth="1"/>
    <col min="5" max="5" width="5.140625" customWidth="1"/>
    <col min="6" max="11" width="11.42578125" customWidth="1"/>
    <col min="12" max="12" width="5" customWidth="1"/>
    <col min="13" max="13" width="14" customWidth="1"/>
    <col min="14" max="21" width="11.28515625" customWidth="1"/>
  </cols>
  <sheetData>
    <row r="1" spans="1:21" x14ac:dyDescent="0.2">
      <c r="A1" s="42" t="s">
        <v>0</v>
      </c>
    </row>
    <row r="2" spans="1:21" ht="15.75" x14ac:dyDescent="0.25">
      <c r="C2" s="94" t="s">
        <v>437</v>
      </c>
      <c r="D2" s="25"/>
      <c r="G2" s="50"/>
      <c r="J2" s="62"/>
      <c r="K2" s="62"/>
      <c r="M2" s="94" t="s">
        <v>250</v>
      </c>
      <c r="N2" s="25"/>
    </row>
    <row r="3" spans="1:21" x14ac:dyDescent="0.2">
      <c r="B3" s="54"/>
      <c r="G3" s="588"/>
      <c r="M3" s="1675"/>
      <c r="N3" s="1675"/>
    </row>
    <row r="4" spans="1:21" x14ac:dyDescent="0.2">
      <c r="B4" s="50" t="s">
        <v>703</v>
      </c>
      <c r="H4" s="88">
        <v>0</v>
      </c>
    </row>
    <row r="5" spans="1:21" x14ac:dyDescent="0.2">
      <c r="B5" s="1773" t="str">
        <f>'1. T1 INVESTOINTISUUN.'!B7:D7</f>
        <v xml:space="preserve"> </v>
      </c>
      <c r="C5" s="1773"/>
      <c r="D5" s="1773"/>
      <c r="E5" s="1773"/>
      <c r="F5" s="1773"/>
      <c r="G5" s="527"/>
      <c r="H5" s="527"/>
      <c r="I5" s="55"/>
      <c r="J5" s="527"/>
      <c r="K5" s="527"/>
      <c r="L5" s="47"/>
      <c r="M5" s="1446"/>
      <c r="N5" s="1447"/>
      <c r="O5" s="1441"/>
      <c r="P5" s="1447"/>
      <c r="Q5" s="1447"/>
      <c r="R5" s="1447"/>
      <c r="S5" s="1447"/>
      <c r="T5" s="1447"/>
      <c r="U5" s="1448"/>
    </row>
    <row r="6" spans="1:21" x14ac:dyDescent="0.2">
      <c r="B6" s="590"/>
      <c r="C6" s="592"/>
      <c r="D6" s="592"/>
      <c r="E6" s="539"/>
      <c r="F6" s="539"/>
      <c r="G6" s="55"/>
      <c r="H6" s="1790"/>
      <c r="I6" s="1790"/>
      <c r="J6" s="1790"/>
      <c r="K6" s="1790"/>
      <c r="M6" s="1449" t="s">
        <v>88</v>
      </c>
      <c r="N6" s="146"/>
      <c r="U6" s="1450"/>
    </row>
    <row r="7" spans="1:21" x14ac:dyDescent="0.2">
      <c r="B7" s="168" t="s">
        <v>530</v>
      </c>
      <c r="C7" s="527"/>
      <c r="D7" s="527"/>
      <c r="E7" s="527"/>
      <c r="F7" s="527"/>
      <c r="G7" s="527"/>
      <c r="H7" s="527" t="s">
        <v>93</v>
      </c>
      <c r="J7" s="527"/>
      <c r="K7" s="527"/>
      <c r="L7" s="47"/>
      <c r="M7" s="1451"/>
      <c r="N7" s="146"/>
      <c r="U7" s="1450"/>
    </row>
    <row r="8" spans="1:21" x14ac:dyDescent="0.2">
      <c r="B8" s="1765">
        <f>'1. T1 INVESTOINTISUUN.'!B9:D9</f>
        <v>0</v>
      </c>
      <c r="C8" s="1765"/>
      <c r="D8" s="1765"/>
      <c r="E8" s="1765"/>
      <c r="F8" s="1765"/>
      <c r="G8" s="528"/>
      <c r="H8" s="591">
        <f>'1. T1 INVESTOINTISUUN.'!E4</f>
        <v>0</v>
      </c>
      <c r="I8" s="55"/>
      <c r="J8" s="55"/>
      <c r="K8" s="55"/>
      <c r="M8" s="1451"/>
      <c r="N8" s="146"/>
      <c r="O8" s="415"/>
      <c r="P8" s="146"/>
      <c r="Q8" s="146"/>
      <c r="R8" s="146"/>
      <c r="S8" s="146"/>
      <c r="T8" s="146"/>
      <c r="U8" s="1450"/>
    </row>
    <row r="9" spans="1:21" ht="13.5" thickBot="1" x14ac:dyDescent="0.25">
      <c r="B9" s="42"/>
      <c r="M9" s="1451"/>
      <c r="N9" s="146"/>
      <c r="O9" s="146"/>
      <c r="P9" s="146"/>
      <c r="Q9" s="146"/>
      <c r="R9" s="146"/>
      <c r="S9" s="146"/>
      <c r="T9" s="146"/>
      <c r="U9" s="1450"/>
    </row>
    <row r="10" spans="1:21" ht="12.75" customHeight="1" x14ac:dyDescent="0.2">
      <c r="B10" s="1797" t="s">
        <v>215</v>
      </c>
      <c r="C10" s="1798"/>
      <c r="D10" s="1268"/>
      <c r="E10" s="1269"/>
      <c r="F10" s="1270" t="str">
        <f>'3. T3 TASE '!G10</f>
        <v>Tot. tilikausi</v>
      </c>
      <c r="G10" s="1270" t="str">
        <f>'6. E2 LIIKEVAIHTO '!D7</f>
        <v>Tot. tilikausi</v>
      </c>
      <c r="H10" s="1270" t="str">
        <f>'1. T1 INVESTOINTISUUN.'!D15</f>
        <v>Ennuste 1</v>
      </c>
      <c r="I10" s="1270" t="str">
        <f>'6. E2 LIIKEVAIHTO '!F7</f>
        <v>Ennuste 2</v>
      </c>
      <c r="J10" s="1271" t="str">
        <f>'6. E2 LIIKEVAIHTO '!G7</f>
        <v>Ennuste 3</v>
      </c>
      <c r="K10" s="1272" t="s">
        <v>259</v>
      </c>
      <c r="M10" s="1774" t="s">
        <v>215</v>
      </c>
      <c r="N10" s="1775"/>
      <c r="O10" s="1775"/>
      <c r="P10" s="1775"/>
      <c r="Q10" s="1775"/>
      <c r="R10" s="1775"/>
      <c r="S10" s="1775"/>
      <c r="T10" s="1775"/>
      <c r="U10" s="1776"/>
    </row>
    <row r="11" spans="1:21" ht="12.75" customHeight="1" x14ac:dyDescent="0.2">
      <c r="A11"/>
      <c r="B11" s="1799"/>
      <c r="C11" s="1800"/>
      <c r="D11" s="1273"/>
      <c r="E11" s="1273"/>
      <c r="F11" s="1274">
        <f>'2. &amp; 7. T2 TULOSSUUN. '!E8</f>
        <v>2021</v>
      </c>
      <c r="G11" s="1274">
        <f>'2. &amp; 7. T2 TULOSSUUN. '!G8</f>
        <v>2022</v>
      </c>
      <c r="H11" s="1274">
        <f>'2. &amp; 7. T2 TULOSSUUN. '!I8</f>
        <v>2024</v>
      </c>
      <c r="I11" s="1274">
        <f>'2. &amp; 7. T2 TULOSSUUN. '!K8</f>
        <v>2025</v>
      </c>
      <c r="J11" s="1274">
        <f>'2. &amp; 7. T2 TULOSSUUN. '!M8</f>
        <v>2026</v>
      </c>
      <c r="K11" s="1275">
        <f>'2. &amp; 7. T2 TULOSSUUN. '!O8</f>
        <v>2027</v>
      </c>
      <c r="M11" s="1774"/>
      <c r="N11" s="1775"/>
      <c r="O11" s="1775"/>
      <c r="P11" s="1775"/>
      <c r="Q11" s="1775"/>
      <c r="R11" s="1775"/>
      <c r="S11" s="1775"/>
      <c r="T11" s="1775"/>
      <c r="U11" s="1776"/>
    </row>
    <row r="12" spans="1:21" ht="12.75" customHeight="1" thickBot="1" x14ac:dyDescent="0.3">
      <c r="A12" s="55"/>
      <c r="B12" s="1801"/>
      <c r="C12" s="1802"/>
      <c r="D12" s="1791"/>
      <c r="E12" s="1791"/>
      <c r="F12" s="1290" t="s">
        <v>17</v>
      </c>
      <c r="G12" s="1290" t="s">
        <v>17</v>
      </c>
      <c r="H12" s="1290" t="s">
        <v>17</v>
      </c>
      <c r="I12" s="1290" t="s">
        <v>17</v>
      </c>
      <c r="J12" s="1291" t="s">
        <v>17</v>
      </c>
      <c r="K12" s="1292" t="s">
        <v>17</v>
      </c>
      <c r="M12" s="404"/>
      <c r="N12" s="331"/>
      <c r="O12" s="331"/>
      <c r="P12" s="331"/>
      <c r="Q12" s="331"/>
      <c r="R12" s="331"/>
      <c r="S12" s="331"/>
      <c r="T12" s="331"/>
      <c r="U12" s="495"/>
    </row>
    <row r="13" spans="1:21" x14ac:dyDescent="0.2">
      <c r="A13"/>
      <c r="B13" s="1050" t="s">
        <v>220</v>
      </c>
      <c r="C13" s="273" t="s">
        <v>221</v>
      </c>
      <c r="D13" s="273"/>
      <c r="E13" s="1051"/>
      <c r="F13" s="1052">
        <f t="shared" ref="F13:K13" si="0">F14+F18+F34</f>
        <v>0</v>
      </c>
      <c r="G13" s="1052">
        <f>G14+G18+G34</f>
        <v>0</v>
      </c>
      <c r="H13" s="1052">
        <f t="shared" si="0"/>
        <v>0</v>
      </c>
      <c r="I13" s="1052">
        <f t="shared" si="0"/>
        <v>0</v>
      </c>
      <c r="J13" s="1053">
        <f t="shared" si="0"/>
        <v>0</v>
      </c>
      <c r="K13" s="1064">
        <f t="shared" si="0"/>
        <v>0</v>
      </c>
      <c r="M13" s="404"/>
      <c r="N13" s="331"/>
      <c r="O13" s="331"/>
      <c r="P13" s="331"/>
      <c r="Q13" s="331"/>
      <c r="R13" s="331"/>
      <c r="S13" s="331"/>
      <c r="T13" s="331"/>
      <c r="U13" s="495"/>
    </row>
    <row r="14" spans="1:21" x14ac:dyDescent="0.2">
      <c r="A14" s="55"/>
      <c r="B14" s="200" t="s">
        <v>418</v>
      </c>
      <c r="C14" s="201" t="s">
        <v>253</v>
      </c>
      <c r="D14" s="201"/>
      <c r="E14" s="202"/>
      <c r="F14" s="967">
        <v>0</v>
      </c>
      <c r="G14" s="967">
        <v>0</v>
      </c>
      <c r="H14" s="802">
        <f>G14+H15-H16-H17</f>
        <v>0</v>
      </c>
      <c r="I14" s="802">
        <f>H14+I15-I16-I17</f>
        <v>0</v>
      </c>
      <c r="J14" s="968">
        <f>I14+J15-J16-J17</f>
        <v>0</v>
      </c>
      <c r="K14" s="338">
        <f>J14+K15-K16-K17</f>
        <v>0</v>
      </c>
      <c r="M14" s="404"/>
      <c r="N14" s="331"/>
      <c r="O14" s="331"/>
      <c r="P14" s="331"/>
      <c r="Q14" s="331"/>
      <c r="R14" s="331"/>
      <c r="S14" s="331"/>
      <c r="T14" s="331"/>
      <c r="U14" s="495"/>
    </row>
    <row r="15" spans="1:21" x14ac:dyDescent="0.2">
      <c r="A15" s="2"/>
      <c r="B15" s="203" t="s">
        <v>0</v>
      </c>
      <c r="C15" s="233" t="s">
        <v>512</v>
      </c>
      <c r="D15" s="233"/>
      <c r="E15" s="234" t="s">
        <v>89</v>
      </c>
      <c r="F15" s="1043"/>
      <c r="G15" s="1043"/>
      <c r="H15" s="687">
        <f>'AT1 Avustus, alv-laskenta '!C47</f>
        <v>0</v>
      </c>
      <c r="I15" s="687">
        <f>'AT1 Avustus, alv-laskenta '!D47</f>
        <v>0</v>
      </c>
      <c r="J15" s="969">
        <f>'AT1 Avustus, alv-laskenta '!E47</f>
        <v>0</v>
      </c>
      <c r="K15" s="688">
        <f>'AT1 Avustus, alv-laskenta '!F47</f>
        <v>0</v>
      </c>
      <c r="M15" s="1769" t="s">
        <v>413</v>
      </c>
      <c r="N15" s="1770"/>
      <c r="O15" s="1770"/>
      <c r="P15" s="1770"/>
      <c r="Q15" s="331"/>
      <c r="R15" s="331"/>
      <c r="S15" s="331"/>
      <c r="T15" s="331"/>
      <c r="U15" s="495"/>
    </row>
    <row r="16" spans="1:21" x14ac:dyDescent="0.2">
      <c r="A16" s="55"/>
      <c r="B16" s="203" t="s">
        <v>0</v>
      </c>
      <c r="C16" s="1777" t="s">
        <v>704</v>
      </c>
      <c r="D16" s="1777"/>
      <c r="E16" s="235" t="s">
        <v>90</v>
      </c>
      <c r="F16" s="1043"/>
      <c r="G16" s="1043"/>
      <c r="H16" s="707">
        <v>0</v>
      </c>
      <c r="I16" s="707">
        <v>0</v>
      </c>
      <c r="J16" s="970"/>
      <c r="K16" s="708"/>
      <c r="M16" s="440">
        <f>H$11</f>
        <v>2024</v>
      </c>
      <c r="N16" s="440">
        <f>I$11</f>
        <v>2025</v>
      </c>
      <c r="O16" s="440">
        <f>J$11</f>
        <v>2026</v>
      </c>
      <c r="P16" s="440">
        <f>K$11</f>
        <v>2027</v>
      </c>
      <c r="Q16" s="331"/>
      <c r="R16" s="331"/>
      <c r="S16" s="331"/>
      <c r="T16" s="331"/>
      <c r="U16" s="495"/>
    </row>
    <row r="17" spans="1:21" x14ac:dyDescent="0.2">
      <c r="A17"/>
      <c r="B17" s="188"/>
      <c r="C17" s="189" t="s">
        <v>269</v>
      </c>
      <c r="D17" s="204" t="s">
        <v>224</v>
      </c>
      <c r="E17" s="232">
        <v>0.2</v>
      </c>
      <c r="F17" s="1043"/>
      <c r="G17" s="1043"/>
      <c r="H17" s="687">
        <f>(G14+H15*M17/12-H16)*$E$17</f>
        <v>0</v>
      </c>
      <c r="I17" s="687">
        <f>(H14+I15*N17/12-I16)*$E$17</f>
        <v>0</v>
      </c>
      <c r="J17" s="687">
        <f>(I14+J15*O17/12-J16)*$E$17</f>
        <v>0</v>
      </c>
      <c r="K17" s="688">
        <f>(J14+K15*P17/12-K16)*$E$17</f>
        <v>0</v>
      </c>
      <c r="M17" s="441">
        <v>12</v>
      </c>
      <c r="N17" s="441">
        <v>12</v>
      </c>
      <c r="O17" s="441">
        <v>12</v>
      </c>
      <c r="P17" s="441">
        <v>12</v>
      </c>
      <c r="Q17" s="331"/>
      <c r="R17" s="331"/>
      <c r="S17" s="331"/>
      <c r="T17" s="331"/>
      <c r="U17" s="495"/>
    </row>
    <row r="18" spans="1:21" x14ac:dyDescent="0.2">
      <c r="A18" s="55"/>
      <c r="B18" s="200" t="s">
        <v>419</v>
      </c>
      <c r="C18" s="477" t="s">
        <v>254</v>
      </c>
      <c r="D18" s="477"/>
      <c r="E18" s="478"/>
      <c r="F18" s="971">
        <f t="shared" ref="F18:K18" si="1">F19+F22+F26+F30</f>
        <v>0</v>
      </c>
      <c r="G18" s="971">
        <f t="shared" si="1"/>
        <v>0</v>
      </c>
      <c r="H18" s="971">
        <f t="shared" si="1"/>
        <v>0</v>
      </c>
      <c r="I18" s="971">
        <f t="shared" si="1"/>
        <v>0</v>
      </c>
      <c r="J18" s="972">
        <f t="shared" si="1"/>
        <v>0</v>
      </c>
      <c r="K18" s="973">
        <f t="shared" si="1"/>
        <v>0</v>
      </c>
      <c r="M18" s="404"/>
      <c r="N18" s="331"/>
      <c r="O18" s="331"/>
      <c r="P18" s="331"/>
      <c r="Q18" s="331"/>
      <c r="R18" s="331"/>
      <c r="S18" s="331"/>
      <c r="T18" s="331"/>
      <c r="U18" s="495"/>
    </row>
    <row r="19" spans="1:21" x14ac:dyDescent="0.2">
      <c r="A19"/>
      <c r="B19" s="203" t="s">
        <v>0</v>
      </c>
      <c r="C19" s="475" t="s">
        <v>279</v>
      </c>
      <c r="D19" s="475"/>
      <c r="E19" s="476"/>
      <c r="F19" s="967">
        <v>0</v>
      </c>
      <c r="G19" s="967">
        <v>0</v>
      </c>
      <c r="H19" s="802">
        <f>G19+H20-H21</f>
        <v>0</v>
      </c>
      <c r="I19" s="802">
        <f>H19+I20-I21</f>
        <v>0</v>
      </c>
      <c r="J19" s="968">
        <f>I19+J20-J21</f>
        <v>0</v>
      </c>
      <c r="K19" s="338">
        <f>J19+K20-K21</f>
        <v>0</v>
      </c>
      <c r="M19" s="404"/>
      <c r="N19" s="331"/>
      <c r="O19" s="331"/>
      <c r="P19" s="331"/>
      <c r="Q19" s="331"/>
      <c r="R19" s="331"/>
      <c r="S19" s="331"/>
      <c r="T19" s="331"/>
      <c r="U19" s="495"/>
    </row>
    <row r="20" spans="1:21" x14ac:dyDescent="0.2">
      <c r="A20" s="55"/>
      <c r="B20" s="203" t="s">
        <v>0</v>
      </c>
      <c r="C20" s="233" t="s">
        <v>744</v>
      </c>
      <c r="D20" s="233"/>
      <c r="E20" s="236" t="s">
        <v>89</v>
      </c>
      <c r="F20" s="1043"/>
      <c r="G20" s="1043"/>
      <c r="H20" s="687">
        <f>'AT1 Avustus, alv-laskenta '!C7</f>
        <v>0</v>
      </c>
      <c r="I20" s="687">
        <f>'AT1 Avustus, alv-laskenta '!D7</f>
        <v>0</v>
      </c>
      <c r="J20" s="969">
        <f>'AT1 Avustus, alv-laskenta '!E7</f>
        <v>0</v>
      </c>
      <c r="K20" s="688">
        <f>'AT1 Avustus, alv-laskenta '!F7</f>
        <v>0</v>
      </c>
      <c r="M20" s="1452"/>
      <c r="N20" s="331"/>
      <c r="O20" s="331"/>
      <c r="P20" s="331"/>
      <c r="Q20" s="331"/>
      <c r="R20" s="331"/>
      <c r="S20" s="331"/>
      <c r="T20" s="331"/>
      <c r="U20" s="495"/>
    </row>
    <row r="21" spans="1:21" x14ac:dyDescent="0.2">
      <c r="A21" s="2"/>
      <c r="B21" s="203" t="s">
        <v>0</v>
      </c>
      <c r="C21" s="1759" t="s">
        <v>745</v>
      </c>
      <c r="D21" s="1759"/>
      <c r="E21" s="235" t="s">
        <v>90</v>
      </c>
      <c r="F21" s="1043"/>
      <c r="G21" s="1043"/>
      <c r="H21" s="707">
        <v>0</v>
      </c>
      <c r="I21" s="707">
        <v>0</v>
      </c>
      <c r="J21" s="970"/>
      <c r="K21" s="708"/>
      <c r="M21" s="404"/>
      <c r="N21" s="331"/>
      <c r="O21" s="331"/>
      <c r="P21" s="331"/>
      <c r="Q21" s="331"/>
      <c r="R21" s="331"/>
      <c r="S21" s="331"/>
      <c r="T21" s="331"/>
      <c r="U21" s="495"/>
    </row>
    <row r="22" spans="1:21" x14ac:dyDescent="0.2">
      <c r="A22" s="55"/>
      <c r="B22" s="203"/>
      <c r="C22" s="1040" t="s">
        <v>255</v>
      </c>
      <c r="D22" s="1040"/>
      <c r="E22" s="237"/>
      <c r="F22" s="967">
        <v>0</v>
      </c>
      <c r="G22" s="967">
        <v>0</v>
      </c>
      <c r="H22" s="802">
        <f>G22+H23-H24-H25</f>
        <v>0</v>
      </c>
      <c r="I22" s="802">
        <f>H22+I23-I24-I25</f>
        <v>0</v>
      </c>
      <c r="J22" s="968">
        <f>I22+J23-J24-J25</f>
        <v>0</v>
      </c>
      <c r="K22" s="338">
        <f>J22+K23-K24-K25</f>
        <v>0</v>
      </c>
      <c r="M22" s="404"/>
      <c r="N22" s="331"/>
      <c r="O22" s="331"/>
      <c r="P22" s="331"/>
      <c r="Q22" s="331"/>
      <c r="R22" s="331"/>
      <c r="S22" s="331"/>
      <c r="T22" s="331"/>
      <c r="U22" s="495"/>
    </row>
    <row r="23" spans="1:21" x14ac:dyDescent="0.2">
      <c r="A23"/>
      <c r="B23" s="203" t="s">
        <v>0</v>
      </c>
      <c r="C23" s="233" t="s">
        <v>744</v>
      </c>
      <c r="D23" s="233"/>
      <c r="E23" s="236" t="s">
        <v>89</v>
      </c>
      <c r="F23" s="1043"/>
      <c r="G23" s="1043"/>
      <c r="H23" s="687">
        <f>'AT1 Avustus, alv-laskenta '!C14+'AT1 Avustus, alv-laskenta '!C18</f>
        <v>0</v>
      </c>
      <c r="I23" s="687">
        <f>'AT1 Avustus, alv-laskenta '!D14+'AT1 Avustus, alv-laskenta '!D18</f>
        <v>0</v>
      </c>
      <c r="J23" s="969">
        <f>'AT1 Avustus, alv-laskenta '!E14+'AT1 Avustus, alv-laskenta '!E18</f>
        <v>0</v>
      </c>
      <c r="K23" s="688">
        <f>'AT1 Avustus, alv-laskenta '!F14+'AT1 Avustus, alv-laskenta '!F18</f>
        <v>0</v>
      </c>
      <c r="M23" s="1769" t="s">
        <v>413</v>
      </c>
      <c r="N23" s="1770"/>
      <c r="O23" s="1770"/>
      <c r="P23" s="1770"/>
      <c r="Q23" s="331"/>
      <c r="R23" s="331"/>
      <c r="S23" s="331"/>
      <c r="T23" s="331"/>
      <c r="U23" s="495"/>
    </row>
    <row r="24" spans="1:21" x14ac:dyDescent="0.2">
      <c r="A24" s="55"/>
      <c r="B24" s="203" t="s">
        <v>0</v>
      </c>
      <c r="C24" s="1759" t="s">
        <v>745</v>
      </c>
      <c r="D24" s="1759"/>
      <c r="E24" s="235" t="s">
        <v>90</v>
      </c>
      <c r="F24" s="1043"/>
      <c r="G24" s="1043"/>
      <c r="H24" s="707">
        <v>0</v>
      </c>
      <c r="I24" s="707"/>
      <c r="J24" s="970"/>
      <c r="K24" s="708"/>
      <c r="M24" s="440">
        <f>H$11</f>
        <v>2024</v>
      </c>
      <c r="N24" s="440">
        <f>I$11</f>
        <v>2025</v>
      </c>
      <c r="O24" s="440">
        <f>J$11</f>
        <v>2026</v>
      </c>
      <c r="P24" s="440">
        <f>K$11</f>
        <v>2027</v>
      </c>
      <c r="Q24" s="331"/>
      <c r="R24" s="331"/>
      <c r="S24" s="331"/>
      <c r="T24" s="331"/>
      <c r="U24" s="495"/>
    </row>
    <row r="25" spans="1:21" x14ac:dyDescent="0.2">
      <c r="A25"/>
      <c r="B25" s="203"/>
      <c r="C25" s="233" t="s">
        <v>746</v>
      </c>
      <c r="D25" s="238" t="s">
        <v>224</v>
      </c>
      <c r="E25" s="239">
        <v>7.0000000000000007E-2</v>
      </c>
      <c r="F25" s="1043"/>
      <c r="G25" s="1043"/>
      <c r="H25" s="687">
        <f>(G22+H23*M25/12-H24)*$E$25</f>
        <v>0</v>
      </c>
      <c r="I25" s="687">
        <f>(H22+I23*N25/12-I24)*$E$25</f>
        <v>0</v>
      </c>
      <c r="J25" s="687">
        <f>(I22+J23*O25/12-J24)*$E$25</f>
        <v>0</v>
      </c>
      <c r="K25" s="688">
        <f>(J22+K23*P25/12-K24)*$E$25</f>
        <v>0</v>
      </c>
      <c r="M25" s="441">
        <v>12</v>
      </c>
      <c r="N25" s="441">
        <v>12</v>
      </c>
      <c r="O25" s="441">
        <v>12</v>
      </c>
      <c r="P25" s="441">
        <v>12</v>
      </c>
      <c r="Q25" s="331"/>
      <c r="R25" s="331"/>
      <c r="S25" s="331"/>
      <c r="T25" s="331"/>
      <c r="U25" s="495"/>
    </row>
    <row r="26" spans="1:21" x14ac:dyDescent="0.2">
      <c r="A26" s="55"/>
      <c r="B26" s="203"/>
      <c r="C26" s="1040" t="s">
        <v>256</v>
      </c>
      <c r="D26" s="1040"/>
      <c r="E26" s="237"/>
      <c r="F26" s="974">
        <v>0</v>
      </c>
      <c r="G26" s="974">
        <v>0</v>
      </c>
      <c r="H26" s="802">
        <f>G26+H27-H28-H29</f>
        <v>0</v>
      </c>
      <c r="I26" s="802">
        <f>H26+I27-I28-I29</f>
        <v>0</v>
      </c>
      <c r="J26" s="968">
        <f>I26+J27-J28-J29</f>
        <v>0</v>
      </c>
      <c r="K26" s="338">
        <f>J26+K27-K28-K29</f>
        <v>0</v>
      </c>
      <c r="M26" s="1453"/>
      <c r="N26" s="326"/>
      <c r="O26" s="326"/>
      <c r="P26" s="326"/>
      <c r="Q26" s="331"/>
      <c r="R26" s="331"/>
      <c r="S26" s="331"/>
      <c r="T26" s="331"/>
      <c r="U26" s="495"/>
    </row>
    <row r="27" spans="1:21" x14ac:dyDescent="0.2">
      <c r="A27" s="2"/>
      <c r="B27" s="203" t="s">
        <v>0</v>
      </c>
      <c r="C27" s="233" t="s">
        <v>744</v>
      </c>
      <c r="D27" s="233"/>
      <c r="E27" s="236" t="s">
        <v>89</v>
      </c>
      <c r="F27" s="1043"/>
      <c r="G27" s="1043"/>
      <c r="H27" s="687">
        <f>'AT1 Avustus, alv-laskenta '!C27+'AT1 Avustus, alv-laskenta '!C33</f>
        <v>0</v>
      </c>
      <c r="I27" s="687">
        <f>'AT1 Avustus, alv-laskenta '!D27+'AT1 Avustus, alv-laskenta '!D33</f>
        <v>0</v>
      </c>
      <c r="J27" s="687">
        <f>'AT1 Avustus, alv-laskenta '!E27+'AT1 Avustus, alv-laskenta '!E33</f>
        <v>0</v>
      </c>
      <c r="K27" s="688">
        <f>'AT1 Avustus, alv-laskenta '!F27+'AT1 Avustus, alv-laskenta '!F33</f>
        <v>0</v>
      </c>
      <c r="M27" s="1769" t="s">
        <v>413</v>
      </c>
      <c r="N27" s="1770"/>
      <c r="O27" s="1770"/>
      <c r="P27" s="1770"/>
      <c r="Q27" s="331"/>
      <c r="R27" s="331"/>
      <c r="S27" s="331"/>
      <c r="T27" s="331"/>
      <c r="U27" s="495"/>
    </row>
    <row r="28" spans="1:21" x14ac:dyDescent="0.2">
      <c r="A28" s="55"/>
      <c r="B28" s="203" t="s">
        <v>0</v>
      </c>
      <c r="C28" s="1759" t="s">
        <v>745</v>
      </c>
      <c r="D28" s="1759"/>
      <c r="E28" s="235" t="s">
        <v>90</v>
      </c>
      <c r="F28" s="1043"/>
      <c r="G28" s="1043"/>
      <c r="H28" s="707">
        <v>0</v>
      </c>
      <c r="I28" s="707"/>
      <c r="J28" s="970">
        <v>0</v>
      </c>
      <c r="K28" s="708"/>
      <c r="M28" s="440">
        <f>H$11</f>
        <v>2024</v>
      </c>
      <c r="N28" s="440">
        <f>I$11</f>
        <v>2025</v>
      </c>
      <c r="O28" s="440">
        <f>J$11</f>
        <v>2026</v>
      </c>
      <c r="P28" s="440">
        <f>K$11</f>
        <v>2027</v>
      </c>
      <c r="Q28" s="331"/>
      <c r="R28" s="331"/>
      <c r="S28" s="331"/>
      <c r="T28" s="331"/>
      <c r="U28" s="495"/>
    </row>
    <row r="29" spans="1:21" x14ac:dyDescent="0.2">
      <c r="A29"/>
      <c r="B29" s="203"/>
      <c r="C29" s="233" t="s">
        <v>746</v>
      </c>
      <c r="D29" s="238" t="s">
        <v>224</v>
      </c>
      <c r="E29" s="239">
        <v>0.2</v>
      </c>
      <c r="F29" s="975"/>
      <c r="G29" s="975"/>
      <c r="H29" s="687">
        <f>(G26+H27*M29/12-H28)*$E$29</f>
        <v>0</v>
      </c>
      <c r="I29" s="687">
        <f>(H26+I27*N29/12-I28)*$E$29</f>
        <v>0</v>
      </c>
      <c r="J29" s="687">
        <f>(I26+J27*O29/12-J28)*$E$29</f>
        <v>0</v>
      </c>
      <c r="K29" s="688">
        <f>(J26+K27*P29/12-K28)*$E$29</f>
        <v>0</v>
      </c>
      <c r="M29" s="441">
        <v>12</v>
      </c>
      <c r="N29" s="441">
        <v>12</v>
      </c>
      <c r="O29" s="441">
        <v>12</v>
      </c>
      <c r="P29" s="441">
        <v>12</v>
      </c>
      <c r="Q29" s="331"/>
      <c r="R29" s="331"/>
      <c r="S29" s="331"/>
      <c r="T29" s="331"/>
      <c r="U29" s="495"/>
    </row>
    <row r="30" spans="1:21" x14ac:dyDescent="0.2">
      <c r="A30" s="55"/>
      <c r="B30" s="203"/>
      <c r="C30" s="1771" t="s">
        <v>257</v>
      </c>
      <c r="D30" s="1771"/>
      <c r="E30" s="1772"/>
      <c r="F30" s="967">
        <v>0</v>
      </c>
      <c r="G30" s="967">
        <v>0</v>
      </c>
      <c r="H30" s="802">
        <f>G30+H31-H32-H33</f>
        <v>0</v>
      </c>
      <c r="I30" s="802">
        <f>H30+I31-I32-I33</f>
        <v>0</v>
      </c>
      <c r="J30" s="968">
        <f>I30+J31-J32-J33</f>
        <v>0</v>
      </c>
      <c r="K30" s="338">
        <f>J30+K31-K32-K33</f>
        <v>0</v>
      </c>
      <c r="M30" s="1453"/>
      <c r="N30" s="326"/>
      <c r="O30" s="326"/>
      <c r="P30" s="326"/>
      <c r="Q30" s="331"/>
      <c r="R30" s="331"/>
      <c r="S30" s="331"/>
      <c r="T30" s="331"/>
      <c r="U30" s="495"/>
    </row>
    <row r="31" spans="1:21" x14ac:dyDescent="0.2">
      <c r="A31" s="2"/>
      <c r="B31" s="203" t="s">
        <v>0</v>
      </c>
      <c r="C31" s="233" t="s">
        <v>512</v>
      </c>
      <c r="D31" s="233"/>
      <c r="E31" s="236" t="s">
        <v>89</v>
      </c>
      <c r="F31" s="1043"/>
      <c r="G31" s="1043"/>
      <c r="H31" s="687">
        <f>'AT1 Avustus, alv-laskenta '!C40</f>
        <v>0</v>
      </c>
      <c r="I31" s="687">
        <f>'AT1 Avustus, alv-laskenta '!D40</f>
        <v>0</v>
      </c>
      <c r="J31" s="969">
        <f>'AT1 Avustus, alv-laskenta '!E40</f>
        <v>0</v>
      </c>
      <c r="K31" s="688">
        <f>'AT1 Avustus, alv-laskenta '!F40</f>
        <v>0</v>
      </c>
      <c r="M31" s="1769" t="s">
        <v>413</v>
      </c>
      <c r="N31" s="1770"/>
      <c r="O31" s="1770"/>
      <c r="P31" s="1770"/>
      <c r="Q31" s="331"/>
      <c r="R31" s="331"/>
      <c r="S31" s="331"/>
      <c r="T31" s="331"/>
      <c r="U31" s="495"/>
    </row>
    <row r="32" spans="1:21" x14ac:dyDescent="0.2">
      <c r="A32" s="55"/>
      <c r="B32" s="203" t="s">
        <v>0</v>
      </c>
      <c r="C32" s="1759" t="s">
        <v>704</v>
      </c>
      <c r="D32" s="1759"/>
      <c r="E32" s="235" t="s">
        <v>90</v>
      </c>
      <c r="F32" s="1043"/>
      <c r="G32" s="1043"/>
      <c r="H32" s="707">
        <v>0</v>
      </c>
      <c r="I32" s="707">
        <v>0</v>
      </c>
      <c r="J32" s="970"/>
      <c r="K32" s="708"/>
      <c r="M32" s="440">
        <f>H$11</f>
        <v>2024</v>
      </c>
      <c r="N32" s="440">
        <f>I$11</f>
        <v>2025</v>
      </c>
      <c r="O32" s="440">
        <f>J$11</f>
        <v>2026</v>
      </c>
      <c r="P32" s="440">
        <f>K$11</f>
        <v>2027</v>
      </c>
      <c r="Q32" s="331"/>
      <c r="R32" s="331"/>
      <c r="S32" s="331"/>
      <c r="T32" s="331"/>
      <c r="U32" s="495"/>
    </row>
    <row r="33" spans="1:21" x14ac:dyDescent="0.2">
      <c r="B33" s="188"/>
      <c r="C33" s="189" t="s">
        <v>269</v>
      </c>
      <c r="D33" s="204" t="s">
        <v>224</v>
      </c>
      <c r="E33" s="232">
        <v>0.2</v>
      </c>
      <c r="F33" s="1043"/>
      <c r="G33" s="1043"/>
      <c r="H33" s="687">
        <f>(G30+H31*M33/12-H32)*$E$33</f>
        <v>0</v>
      </c>
      <c r="I33" s="687">
        <f>(H30+I31*N33/12-I32)*$E$33</f>
        <v>0</v>
      </c>
      <c r="J33" s="687">
        <f>(I30+J31*O33/12-J32)*$E$33</f>
        <v>0</v>
      </c>
      <c r="K33" s="688">
        <f>(J30+K31*P33/12-K32)*$E$33</f>
        <v>0</v>
      </c>
      <c r="M33" s="441">
        <v>12</v>
      </c>
      <c r="N33" s="441">
        <v>12</v>
      </c>
      <c r="O33" s="441">
        <v>12</v>
      </c>
      <c r="P33" s="441">
        <v>12</v>
      </c>
      <c r="Q33" s="331"/>
      <c r="R33" s="331"/>
      <c r="S33" s="331"/>
      <c r="T33" s="331"/>
      <c r="U33" s="495"/>
    </row>
    <row r="34" spans="1:21" x14ac:dyDescent="0.2">
      <c r="B34" s="200" t="s">
        <v>420</v>
      </c>
      <c r="C34" s="477" t="s">
        <v>210</v>
      </c>
      <c r="D34" s="479"/>
      <c r="E34" s="480"/>
      <c r="F34" s="976">
        <v>0</v>
      </c>
      <c r="G34" s="976">
        <v>0</v>
      </c>
      <c r="H34" s="971">
        <f>G34+H35-H36</f>
        <v>0</v>
      </c>
      <c r="I34" s="971">
        <f>H34+I35-I36</f>
        <v>0</v>
      </c>
      <c r="J34" s="971">
        <f>I34+J35-J36</f>
        <v>0</v>
      </c>
      <c r="K34" s="1037">
        <f>J34+K35-K36</f>
        <v>0</v>
      </c>
      <c r="M34" s="404"/>
      <c r="N34" s="331"/>
      <c r="O34" s="331"/>
      <c r="P34" s="331"/>
      <c r="Q34" s="331"/>
      <c r="R34" s="331"/>
      <c r="S34" s="331"/>
      <c r="T34" s="331"/>
      <c r="U34" s="495"/>
    </row>
    <row r="35" spans="1:21" x14ac:dyDescent="0.2">
      <c r="B35" s="205"/>
      <c r="C35" s="473" t="s">
        <v>512</v>
      </c>
      <c r="D35" s="473"/>
      <c r="E35" s="474" t="s">
        <v>89</v>
      </c>
      <c r="F35" s="977"/>
      <c r="G35" s="977"/>
      <c r="H35" s="707">
        <f>'1. T1 INVESTOINTISUUN.'!D38</f>
        <v>0</v>
      </c>
      <c r="I35" s="707">
        <f>'1. T1 INVESTOINTISUUN.'!E38</f>
        <v>0</v>
      </c>
      <c r="J35" s="707">
        <f>'1. T1 INVESTOINTISUUN.'!F38</f>
        <v>0</v>
      </c>
      <c r="K35" s="708">
        <f>'1. T1 INVESTOINTISUUN.'!G38</f>
        <v>0</v>
      </c>
      <c r="M35" s="404"/>
      <c r="N35" s="331"/>
      <c r="O35" s="331"/>
      <c r="P35" s="331"/>
      <c r="Q35" s="331"/>
      <c r="R35" s="331"/>
      <c r="S35" s="331"/>
      <c r="T35" s="331"/>
      <c r="U35" s="495"/>
    </row>
    <row r="36" spans="1:21" ht="13.5" thickBot="1" x14ac:dyDescent="0.25">
      <c r="B36" s="229"/>
      <c r="C36" s="485" t="s">
        <v>268</v>
      </c>
      <c r="D36" s="485"/>
      <c r="E36" s="486" t="s">
        <v>90</v>
      </c>
      <c r="F36" s="978"/>
      <c r="G36" s="978"/>
      <c r="H36" s="979">
        <v>0</v>
      </c>
      <c r="I36" s="979">
        <v>0</v>
      </c>
      <c r="J36" s="979">
        <v>0</v>
      </c>
      <c r="K36" s="980">
        <v>0</v>
      </c>
      <c r="M36" s="404"/>
      <c r="N36" s="331"/>
      <c r="O36" s="331"/>
      <c r="P36" s="331"/>
      <c r="Q36" s="331"/>
      <c r="R36" s="331"/>
      <c r="S36" s="331"/>
      <c r="T36" s="331"/>
      <c r="U36" s="495"/>
    </row>
    <row r="37" spans="1:21" ht="6" customHeight="1" thickBot="1" x14ac:dyDescent="0.25">
      <c r="B37" s="221"/>
      <c r="C37" s="222"/>
      <c r="D37" s="223"/>
      <c r="E37" s="224"/>
      <c r="F37" s="224"/>
      <c r="G37" s="225"/>
      <c r="H37" s="225" t="s">
        <v>347</v>
      </c>
      <c r="I37" s="225"/>
      <c r="J37" s="225"/>
      <c r="K37" s="225"/>
      <c r="L37" s="134"/>
      <c r="M37" s="447"/>
      <c r="N37" s="174"/>
      <c r="O37" s="174"/>
      <c r="P37" s="174"/>
      <c r="Q37" s="174"/>
      <c r="R37" s="174"/>
      <c r="S37" s="174"/>
      <c r="T37" s="174"/>
      <c r="U37" s="352"/>
    </row>
    <row r="38" spans="1:21" x14ac:dyDescent="0.2">
      <c r="B38" s="731" t="s">
        <v>218</v>
      </c>
      <c r="C38" s="114" t="s">
        <v>219</v>
      </c>
      <c r="D38" s="114"/>
      <c r="E38" s="165"/>
      <c r="F38" s="966">
        <f t="shared" ref="F38:K38" si="2">F39+F41+F48+F49</f>
        <v>0</v>
      </c>
      <c r="G38" s="966">
        <f t="shared" si="2"/>
        <v>0</v>
      </c>
      <c r="H38" s="966">
        <f>H39+H41+H48+H49</f>
        <v>0</v>
      </c>
      <c r="I38" s="966">
        <f t="shared" si="2"/>
        <v>0</v>
      </c>
      <c r="J38" s="981">
        <f t="shared" si="2"/>
        <v>0</v>
      </c>
      <c r="K38" s="982">
        <f t="shared" si="2"/>
        <v>0</v>
      </c>
      <c r="M38" s="404"/>
      <c r="N38" s="331"/>
      <c r="O38" s="331"/>
      <c r="P38" s="331"/>
      <c r="Q38" s="331"/>
      <c r="R38" s="331"/>
      <c r="S38" s="331"/>
      <c r="T38" s="331"/>
      <c r="U38" s="495"/>
    </row>
    <row r="39" spans="1:21" x14ac:dyDescent="0.2">
      <c r="A39"/>
      <c r="B39" s="205" t="s">
        <v>421</v>
      </c>
      <c r="C39" s="240" t="s">
        <v>117</v>
      </c>
      <c r="D39" s="240"/>
      <c r="E39" s="234" t="s">
        <v>89</v>
      </c>
      <c r="F39" s="967">
        <v>0</v>
      </c>
      <c r="G39" s="967">
        <v>0</v>
      </c>
      <c r="H39" s="802">
        <f>'8. T4 RAHOITUSSUUN. '!H49</f>
        <v>0</v>
      </c>
      <c r="I39" s="802">
        <f>'8. T4 RAHOITUSSUUN. '!I49</f>
        <v>0</v>
      </c>
      <c r="J39" s="968">
        <f>'8. T4 RAHOITUSSUUN. '!J49</f>
        <v>0</v>
      </c>
      <c r="K39" s="338">
        <f>'8. T4 RAHOITUSSUUN. '!K49</f>
        <v>0</v>
      </c>
      <c r="M39" s="404"/>
      <c r="N39" s="331"/>
      <c r="O39" s="331"/>
      <c r="P39" s="331"/>
      <c r="Q39" s="331"/>
      <c r="R39" s="331"/>
      <c r="S39" s="331"/>
      <c r="T39" s="331"/>
      <c r="U39" s="495"/>
    </row>
    <row r="40" spans="1:21" x14ac:dyDescent="0.2">
      <c r="A40" s="6"/>
      <c r="B40" s="205"/>
      <c r="C40" s="1794" t="str">
        <f>'8. T4 RAHOITUSSUUN. '!C50</f>
        <v>Vaihto-omaisuus/liikevaihto (%)</v>
      </c>
      <c r="D40" s="1795"/>
      <c r="E40" s="1796"/>
      <c r="F40" s="985">
        <f>'8. T4 RAHOITUSSUUN. '!F50</f>
        <v>0</v>
      </c>
      <c r="G40" s="985">
        <f>'8. T4 RAHOITUSSUUN. '!G50</f>
        <v>0</v>
      </c>
      <c r="H40" s="985">
        <f>'8. T4 RAHOITUSSUUN. '!G50</f>
        <v>0</v>
      </c>
      <c r="I40" s="985">
        <f>'8. T4 RAHOITUSSUUN. '!H50</f>
        <v>0</v>
      </c>
      <c r="J40" s="985">
        <f>'8. T4 RAHOITUSSUUN. '!I50</f>
        <v>0</v>
      </c>
      <c r="K40" s="986">
        <f>'8. T4 RAHOITUSSUUN. '!J50</f>
        <v>0</v>
      </c>
      <c r="M40" s="404"/>
      <c r="N40" s="331"/>
      <c r="O40" s="331"/>
      <c r="P40" s="331"/>
      <c r="Q40" s="331"/>
      <c r="R40" s="331"/>
      <c r="S40" s="331"/>
      <c r="T40" s="331"/>
      <c r="U40" s="495"/>
    </row>
    <row r="41" spans="1:21" x14ac:dyDescent="0.2">
      <c r="B41" s="205" t="s">
        <v>419</v>
      </c>
      <c r="C41" s="240" t="s">
        <v>211</v>
      </c>
      <c r="D41" s="240"/>
      <c r="E41" s="234" t="s">
        <v>89</v>
      </c>
      <c r="F41" s="802">
        <f t="shared" ref="F41:K41" si="3">F42+F46+F47+F44</f>
        <v>0</v>
      </c>
      <c r="G41" s="802">
        <f t="shared" si="3"/>
        <v>0</v>
      </c>
      <c r="H41" s="802">
        <f t="shared" si="3"/>
        <v>0</v>
      </c>
      <c r="I41" s="802">
        <f t="shared" si="3"/>
        <v>0</v>
      </c>
      <c r="J41" s="802">
        <f t="shared" si="3"/>
        <v>0</v>
      </c>
      <c r="K41" s="338">
        <f t="shared" si="3"/>
        <v>0</v>
      </c>
      <c r="M41" s="404"/>
      <c r="N41" s="331"/>
      <c r="O41" s="331"/>
      <c r="P41" s="331"/>
      <c r="Q41" s="331"/>
      <c r="R41" s="331"/>
      <c r="S41" s="331"/>
      <c r="T41" s="331"/>
      <c r="U41" s="495"/>
    </row>
    <row r="42" spans="1:21" x14ac:dyDescent="0.2">
      <c r="B42" s="203" t="s">
        <v>0</v>
      </c>
      <c r="C42" s="233" t="s">
        <v>212</v>
      </c>
      <c r="D42" s="233"/>
      <c r="E42" s="236" t="s">
        <v>89</v>
      </c>
      <c r="F42" s="707">
        <v>0</v>
      </c>
      <c r="G42" s="707">
        <v>0</v>
      </c>
      <c r="H42" s="687">
        <f>'8. T4 RAHOITUSSUUN. '!H51</f>
        <v>0</v>
      </c>
      <c r="I42" s="687">
        <f>'8. T4 RAHOITUSSUUN. '!I51</f>
        <v>0</v>
      </c>
      <c r="J42" s="969">
        <f>'8. T4 RAHOITUSSUUN. '!J51</f>
        <v>0</v>
      </c>
      <c r="K42" s="688">
        <f>'8. T4 RAHOITUSSUUN. '!K51</f>
        <v>0</v>
      </c>
      <c r="M42" s="404"/>
      <c r="N42" s="331"/>
      <c r="O42" s="331"/>
      <c r="P42" s="331"/>
      <c r="Q42" s="331"/>
      <c r="R42" s="331"/>
      <c r="S42" s="331"/>
      <c r="T42" s="331"/>
      <c r="U42" s="495"/>
    </row>
    <row r="43" spans="1:21" x14ac:dyDescent="0.2">
      <c r="B43" s="203"/>
      <c r="C43" s="1792" t="s">
        <v>283</v>
      </c>
      <c r="D43" s="1792"/>
      <c r="E43" s="1793"/>
      <c r="F43" s="983">
        <f>'8. T4 RAHOITUSSUUN. '!F52</f>
        <v>0</v>
      </c>
      <c r="G43" s="983">
        <f>'8. T4 RAHOITUSSUUN. '!G52</f>
        <v>0</v>
      </c>
      <c r="H43" s="983">
        <f>'8. T4 RAHOITUSSUUN. '!H52</f>
        <v>0</v>
      </c>
      <c r="I43" s="983">
        <f>'8. T4 RAHOITUSSUUN. '!I52</f>
        <v>0</v>
      </c>
      <c r="J43" s="983">
        <f>'8. T4 RAHOITUSSUUN. '!J52</f>
        <v>0</v>
      </c>
      <c r="K43" s="984">
        <f>'8. T4 RAHOITUSSUUN. '!K52</f>
        <v>0</v>
      </c>
      <c r="M43" s="404"/>
      <c r="N43" s="331"/>
      <c r="O43" s="331"/>
      <c r="P43" s="331"/>
      <c r="Q43" s="331"/>
      <c r="R43" s="331"/>
      <c r="S43" s="331"/>
      <c r="T43" s="331"/>
      <c r="U43" s="495"/>
    </row>
    <row r="44" spans="1:21" x14ac:dyDescent="0.2">
      <c r="B44" s="203"/>
      <c r="C44" s="233" t="s">
        <v>251</v>
      </c>
      <c r="D44" s="233"/>
      <c r="E44" s="236" t="s">
        <v>89</v>
      </c>
      <c r="F44" s="707">
        <v>0</v>
      </c>
      <c r="G44" s="707">
        <v>0</v>
      </c>
      <c r="H44" s="687">
        <f>'8. T4 RAHOITUSSUUN. '!H54</f>
        <v>0</v>
      </c>
      <c r="I44" s="687">
        <f>'8. T4 RAHOITUSSUUN. '!I54</f>
        <v>0</v>
      </c>
      <c r="J44" s="687">
        <f>'8. T4 RAHOITUSSUUN. '!J54</f>
        <v>0</v>
      </c>
      <c r="K44" s="688">
        <f>'8. T4 RAHOITUSSUUN. '!K54</f>
        <v>0</v>
      </c>
      <c r="M44" s="404"/>
      <c r="N44" s="331"/>
      <c r="O44" s="331"/>
      <c r="P44" s="331"/>
      <c r="Q44" s="331"/>
      <c r="R44" s="331"/>
      <c r="S44" s="331"/>
      <c r="T44" s="331"/>
      <c r="U44" s="495"/>
    </row>
    <row r="45" spans="1:21" x14ac:dyDescent="0.2">
      <c r="A45" s="254"/>
      <c r="B45" s="203"/>
      <c r="C45" s="1756" t="s">
        <v>447</v>
      </c>
      <c r="D45" s="1757"/>
      <c r="E45" s="1758"/>
      <c r="F45" s="985">
        <f>'8. T4 RAHOITUSSUUN. '!F55</f>
        <v>0</v>
      </c>
      <c r="G45" s="985">
        <f>'8. T4 RAHOITUSSUUN. '!G55</f>
        <v>0</v>
      </c>
      <c r="H45" s="985">
        <f>'8. T4 RAHOITUSSUUN. '!H55</f>
        <v>0</v>
      </c>
      <c r="I45" s="985">
        <f>'8. T4 RAHOITUSSUUN. '!I55</f>
        <v>0</v>
      </c>
      <c r="J45" s="985">
        <f>'8. T4 RAHOITUSSUUN. '!J55</f>
        <v>0</v>
      </c>
      <c r="K45" s="986">
        <f>'8. T4 RAHOITUSSUUN. '!K55</f>
        <v>0</v>
      </c>
      <c r="M45" s="404"/>
      <c r="N45" s="331"/>
      <c r="O45" s="331"/>
      <c r="P45" s="331"/>
      <c r="Q45" s="331"/>
      <c r="R45" s="331"/>
      <c r="S45" s="331"/>
      <c r="T45" s="331"/>
      <c r="U45" s="495"/>
    </row>
    <row r="46" spans="1:21" x14ac:dyDescent="0.2">
      <c r="A46" s="254"/>
      <c r="B46" s="203"/>
      <c r="C46" s="1759" t="s">
        <v>309</v>
      </c>
      <c r="D46" s="1759"/>
      <c r="E46" s="236" t="s">
        <v>89</v>
      </c>
      <c r="F46" s="707">
        <v>0</v>
      </c>
      <c r="G46" s="707">
        <v>0</v>
      </c>
      <c r="H46" s="707">
        <v>0</v>
      </c>
      <c r="I46" s="707">
        <v>0</v>
      </c>
      <c r="J46" s="970">
        <v>0</v>
      </c>
      <c r="K46" s="708">
        <v>0</v>
      </c>
      <c r="M46" s="404">
        <v>0</v>
      </c>
      <c r="N46" s="331"/>
      <c r="O46" s="331"/>
      <c r="P46" s="331"/>
      <c r="Q46" s="331"/>
      <c r="R46" s="331"/>
      <c r="S46" s="331"/>
      <c r="T46" s="331"/>
      <c r="U46" s="495"/>
    </row>
    <row r="47" spans="1:21" x14ac:dyDescent="0.2">
      <c r="B47" s="203"/>
      <c r="C47" s="1759" t="s">
        <v>310</v>
      </c>
      <c r="D47" s="1759"/>
      <c r="E47" s="236" t="s">
        <v>89</v>
      </c>
      <c r="F47" s="707">
        <v>0</v>
      </c>
      <c r="G47" s="707">
        <v>0</v>
      </c>
      <c r="H47" s="707">
        <f>$R47*'2. &amp; 7. T2 TULOSSUUN. '!I11</f>
        <v>0</v>
      </c>
      <c r="I47" s="707">
        <f>$R47*'2. &amp; 7. T2 TULOSSUUN. '!K11</f>
        <v>0</v>
      </c>
      <c r="J47" s="707">
        <f>$R47*'2. &amp; 7. T2 TULOSSUUN. '!M11</f>
        <v>0</v>
      </c>
      <c r="K47" s="708">
        <f>$R47*'2. &amp; 7. T2 TULOSSUUN. '!O11</f>
        <v>0</v>
      </c>
      <c r="M47" s="1454" t="s">
        <v>305</v>
      </c>
      <c r="N47" s="1455"/>
      <c r="O47" s="1455"/>
      <c r="P47" s="1455"/>
      <c r="Q47" s="1455"/>
      <c r="R47" s="1456">
        <f>IF(G47=0,0,G47/'2. &amp; 7. T2 TULOSSUUN. '!G11)</f>
        <v>0</v>
      </c>
      <c r="S47" s="1456"/>
      <c r="T47" s="324"/>
      <c r="U47" s="1457"/>
    </row>
    <row r="48" spans="1:21" x14ac:dyDescent="0.2">
      <c r="A48" s="254"/>
      <c r="B48" s="205" t="s">
        <v>420</v>
      </c>
      <c r="C48" s="1771" t="s">
        <v>213</v>
      </c>
      <c r="D48" s="1771"/>
      <c r="E48" s="234" t="s">
        <v>89</v>
      </c>
      <c r="F48" s="967">
        <v>0</v>
      </c>
      <c r="G48" s="967">
        <v>0</v>
      </c>
      <c r="H48" s="967">
        <f>G48</f>
        <v>0</v>
      </c>
      <c r="I48" s="967">
        <f>H48</f>
        <v>0</v>
      </c>
      <c r="J48" s="967">
        <f>I48</f>
        <v>0</v>
      </c>
      <c r="K48" s="987">
        <f>J48</f>
        <v>0</v>
      </c>
      <c r="M48" s="404"/>
      <c r="N48" s="331"/>
      <c r="O48" s="331"/>
      <c r="P48" s="331"/>
      <c r="Q48" s="331"/>
      <c r="R48" s="331"/>
      <c r="S48" s="331"/>
      <c r="T48" s="331"/>
      <c r="U48" s="495"/>
    </row>
    <row r="49" spans="1:21" ht="13.5" thickBot="1" x14ac:dyDescent="0.25">
      <c r="A49" s="6"/>
      <c r="B49" s="229" t="s">
        <v>422</v>
      </c>
      <c r="C49" s="230" t="s">
        <v>214</v>
      </c>
      <c r="D49" s="230"/>
      <c r="E49" s="231" t="s">
        <v>89</v>
      </c>
      <c r="F49" s="988">
        <v>0</v>
      </c>
      <c r="G49" s="988">
        <v>0</v>
      </c>
      <c r="H49" s="777">
        <f>H98-H13-H39-H41-H48</f>
        <v>0</v>
      </c>
      <c r="I49" s="777">
        <f>I98-I13-I39-I41-I48</f>
        <v>0</v>
      </c>
      <c r="J49" s="989">
        <f>J98-J13-J39-J41-J48</f>
        <v>0</v>
      </c>
      <c r="K49" s="778">
        <f>K98-K13-K39-K41-K48</f>
        <v>0</v>
      </c>
      <c r="M49" s="404"/>
      <c r="N49" s="331"/>
      <c r="O49" s="331"/>
      <c r="P49" s="331"/>
      <c r="Q49" s="331"/>
      <c r="R49" s="331"/>
      <c r="S49" s="331"/>
      <c r="T49" s="331"/>
      <c r="U49" s="495"/>
    </row>
    <row r="50" spans="1:21" ht="6" customHeight="1" thickBot="1" x14ac:dyDescent="0.25">
      <c r="B50" s="1054"/>
      <c r="C50" s="1055"/>
      <c r="D50" s="1055"/>
      <c r="E50" s="1056"/>
      <c r="F50" s="1054"/>
      <c r="G50" s="1057"/>
      <c r="H50" s="1058"/>
      <c r="I50" s="1058"/>
      <c r="J50" s="1058"/>
      <c r="K50" s="1058"/>
      <c r="M50" s="447"/>
      <c r="N50" s="174"/>
      <c r="O50" s="174"/>
      <c r="P50" s="174"/>
      <c r="Q50" s="174"/>
      <c r="R50" s="174"/>
      <c r="S50" s="174"/>
      <c r="T50" s="174"/>
      <c r="U50" s="352"/>
    </row>
    <row r="51" spans="1:21" ht="13.5" thickBot="1" x14ac:dyDescent="0.25">
      <c r="B51" s="1780" t="s">
        <v>454</v>
      </c>
      <c r="C51" s="1781"/>
      <c r="D51" s="1781"/>
      <c r="E51" s="1782"/>
      <c r="F51" s="1059">
        <f t="shared" ref="F51:K51" si="4">F38+F13</f>
        <v>0</v>
      </c>
      <c r="G51" s="1059">
        <f t="shared" si="4"/>
        <v>0</v>
      </c>
      <c r="H51" s="1059">
        <f t="shared" si="4"/>
        <v>0</v>
      </c>
      <c r="I51" s="1059">
        <f t="shared" si="4"/>
        <v>0</v>
      </c>
      <c r="J51" s="1060">
        <f t="shared" si="4"/>
        <v>0</v>
      </c>
      <c r="K51" s="1065">
        <f t="shared" si="4"/>
        <v>0</v>
      </c>
      <c r="M51" s="1458" t="str">
        <f>M98</f>
        <v xml:space="preserve"> </v>
      </c>
      <c r="N51" s="189"/>
      <c r="O51" s="189"/>
      <c r="P51" s="189"/>
      <c r="Q51" s="189"/>
      <c r="R51" s="189"/>
      <c r="S51" s="189"/>
      <c r="T51" s="189"/>
      <c r="U51" s="1459"/>
    </row>
    <row r="52" spans="1:21" ht="13.5" thickBot="1" x14ac:dyDescent="0.25">
      <c r="B52" s="42"/>
      <c r="C52" s="1" t="s">
        <v>0</v>
      </c>
      <c r="D52" s="1"/>
      <c r="M52" s="328"/>
      <c r="N52" s="328"/>
      <c r="O52" s="328"/>
      <c r="P52" s="328"/>
      <c r="Q52" s="328"/>
      <c r="R52" s="328"/>
      <c r="S52" s="328"/>
      <c r="T52" s="328"/>
      <c r="U52" s="328"/>
    </row>
    <row r="53" spans="1:21" ht="12.75" customHeight="1" thickBot="1" x14ac:dyDescent="0.25">
      <c r="A53" s="254"/>
      <c r="B53" s="1276"/>
      <c r="C53" s="1277"/>
      <c r="D53" s="1277"/>
      <c r="E53" s="1278"/>
      <c r="F53" s="1279" t="str">
        <f t="shared" ref="F53:K54" si="5">F10</f>
        <v>Tot. tilikausi</v>
      </c>
      <c r="G53" s="1279" t="str">
        <f t="shared" si="5"/>
        <v>Tot. tilikausi</v>
      </c>
      <c r="H53" s="1279" t="str">
        <f t="shared" si="5"/>
        <v>Ennuste 1</v>
      </c>
      <c r="I53" s="1279" t="str">
        <f t="shared" si="5"/>
        <v>Ennuste 2</v>
      </c>
      <c r="J53" s="1280" t="str">
        <f t="shared" si="5"/>
        <v>Ennuste 3</v>
      </c>
      <c r="K53" s="1281" t="str">
        <f t="shared" si="5"/>
        <v>Ennuste 4</v>
      </c>
      <c r="M53" s="1766" t="str">
        <f>B54</f>
        <v>VASTATTAVAA</v>
      </c>
      <c r="N53" s="1767"/>
      <c r="O53" s="1767"/>
      <c r="P53" s="1767"/>
      <c r="Q53" s="1767"/>
      <c r="R53" s="1767"/>
      <c r="S53" s="1767"/>
      <c r="T53" s="1767"/>
      <c r="U53" s="1768"/>
    </row>
    <row r="54" spans="1:21" ht="12.75" customHeight="1" x14ac:dyDescent="0.25">
      <c r="A54" s="254"/>
      <c r="B54" s="1783" t="s">
        <v>216</v>
      </c>
      <c r="C54" s="1784"/>
      <c r="D54" s="1282">
        <f>D12</f>
        <v>0</v>
      </c>
      <c r="E54" s="1283"/>
      <c r="F54" s="1284">
        <f t="shared" si="5"/>
        <v>2021</v>
      </c>
      <c r="G54" s="1284">
        <f t="shared" si="5"/>
        <v>2022</v>
      </c>
      <c r="H54" s="1284">
        <f t="shared" si="5"/>
        <v>2024</v>
      </c>
      <c r="I54" s="1284">
        <f t="shared" si="5"/>
        <v>2025</v>
      </c>
      <c r="J54" s="1285">
        <f t="shared" si="5"/>
        <v>2026</v>
      </c>
      <c r="K54" s="1286">
        <f t="shared" si="5"/>
        <v>2027</v>
      </c>
      <c r="M54" s="1460"/>
      <c r="N54" s="458"/>
      <c r="O54" s="458"/>
      <c r="P54" s="458"/>
      <c r="Q54" s="458"/>
      <c r="R54" s="458"/>
      <c r="S54" s="458"/>
      <c r="T54" s="458"/>
      <c r="U54" s="1461"/>
    </row>
    <row r="55" spans="1:21" ht="12.75" customHeight="1" thickBot="1" x14ac:dyDescent="0.25">
      <c r="A55" s="6"/>
      <c r="B55" s="1287"/>
      <c r="C55" s="1288"/>
      <c r="D55" s="1288"/>
      <c r="E55" s="1289"/>
      <c r="F55" s="1293" t="s">
        <v>17</v>
      </c>
      <c r="G55" s="1293" t="s">
        <v>17</v>
      </c>
      <c r="H55" s="1293" t="s">
        <v>17</v>
      </c>
      <c r="I55" s="1293" t="s">
        <v>17</v>
      </c>
      <c r="J55" s="1294" t="s">
        <v>17</v>
      </c>
      <c r="K55" s="1295" t="s">
        <v>17</v>
      </c>
      <c r="M55" s="404"/>
      <c r="N55" s="331"/>
      <c r="O55" s="331"/>
      <c r="P55" s="331"/>
      <c r="Q55" s="331"/>
      <c r="R55" s="331"/>
      <c r="S55" s="331"/>
      <c r="T55" s="331"/>
      <c r="U55" s="495"/>
    </row>
    <row r="56" spans="1:21" x14ac:dyDescent="0.2">
      <c r="A56" s="254"/>
      <c r="B56" s="524" t="s">
        <v>225</v>
      </c>
      <c r="C56" s="192" t="s">
        <v>217</v>
      </c>
      <c r="D56" s="192"/>
      <c r="E56" s="553"/>
      <c r="F56" s="990">
        <f t="shared" ref="F56:K56" si="6">F57+F58-F59+F60+F61</f>
        <v>0</v>
      </c>
      <c r="G56" s="990">
        <f t="shared" si="6"/>
        <v>0</v>
      </c>
      <c r="H56" s="990">
        <f t="shared" si="6"/>
        <v>0</v>
      </c>
      <c r="I56" s="990">
        <f t="shared" si="6"/>
        <v>0</v>
      </c>
      <c r="J56" s="990">
        <f t="shared" si="6"/>
        <v>0</v>
      </c>
      <c r="K56" s="991">
        <f t="shared" si="6"/>
        <v>0</v>
      </c>
      <c r="M56" s="404"/>
      <c r="N56" s="331"/>
      <c r="O56" s="331"/>
      <c r="P56" s="331"/>
      <c r="Q56" s="331"/>
      <c r="R56" s="331"/>
      <c r="S56" s="331"/>
      <c r="T56" s="331"/>
      <c r="U56" s="495"/>
    </row>
    <row r="57" spans="1:21" s="1" customFormat="1" x14ac:dyDescent="0.2">
      <c r="A57" s="42"/>
      <c r="B57" s="1061"/>
      <c r="C57" s="174" t="s">
        <v>277</v>
      </c>
      <c r="D57" s="174"/>
      <c r="E57" s="352"/>
      <c r="F57" s="744">
        <v>0</v>
      </c>
      <c r="G57" s="744">
        <v>0</v>
      </c>
      <c r="H57" s="687">
        <f>'1. T1 INVESTOINTISUUN.'!D46+G57+H70</f>
        <v>0</v>
      </c>
      <c r="I57" s="992">
        <f>'1. T1 INVESTOINTISUUN.'!E46+H57+I70</f>
        <v>0</v>
      </c>
      <c r="J57" s="687">
        <f>'1. T1 INVESTOINTISUUN.'!F46+I57+J70</f>
        <v>0</v>
      </c>
      <c r="K57" s="993">
        <f>'1. T1 INVESTOINTISUUN.'!G46+J57+K70</f>
        <v>0</v>
      </c>
      <c r="L57" s="4"/>
      <c r="M57" s="404"/>
      <c r="N57" s="331"/>
      <c r="O57" s="331"/>
      <c r="P57" s="331"/>
      <c r="Q57" s="331"/>
      <c r="R57" s="331"/>
      <c r="S57" s="331"/>
      <c r="T57" s="331"/>
      <c r="U57" s="495"/>
    </row>
    <row r="58" spans="1:21" s="1" customFormat="1" x14ac:dyDescent="0.2">
      <c r="A58" s="254"/>
      <c r="B58" s="1061"/>
      <c r="C58" s="174" t="s">
        <v>278</v>
      </c>
      <c r="D58" s="174"/>
      <c r="E58" s="352"/>
      <c r="F58" s="744">
        <v>0</v>
      </c>
      <c r="G58" s="744">
        <v>0</v>
      </c>
      <c r="H58" s="775">
        <f>G58-G59+G60</f>
        <v>0</v>
      </c>
      <c r="I58" s="775">
        <f>H58-H59+H60</f>
        <v>0</v>
      </c>
      <c r="J58" s="994">
        <f>I58-I59+I60</f>
        <v>0</v>
      </c>
      <c r="K58" s="688">
        <f>J58-J59+J60</f>
        <v>0</v>
      </c>
      <c r="L58" s="4"/>
      <c r="M58" s="404"/>
      <c r="N58" s="331"/>
      <c r="O58" s="331"/>
      <c r="P58" s="331"/>
      <c r="Q58" s="331"/>
      <c r="R58" s="331"/>
      <c r="S58" s="331"/>
      <c r="T58" s="331"/>
      <c r="U58" s="495"/>
    </row>
    <row r="59" spans="1:21" s="1" customFormat="1" x14ac:dyDescent="0.2">
      <c r="A59"/>
      <c r="B59" s="1061"/>
      <c r="C59" s="1763" t="s">
        <v>308</v>
      </c>
      <c r="D59" s="1763"/>
      <c r="E59" s="1764"/>
      <c r="F59" s="1043"/>
      <c r="G59" s="1043"/>
      <c r="H59" s="995">
        <f>'8. T4 RAHOITUSSUUN. '!H39</f>
        <v>0</v>
      </c>
      <c r="I59" s="995">
        <f>'8. T4 RAHOITUSSUUN. '!I39</f>
        <v>0</v>
      </c>
      <c r="J59" s="995">
        <f>'8. T4 RAHOITUSSUUN. '!J39</f>
        <v>0</v>
      </c>
      <c r="K59" s="996">
        <f>'8. T4 RAHOITUSSUUN. '!K39</f>
        <v>0</v>
      </c>
      <c r="L59" s="4"/>
      <c r="M59" s="1462" t="s">
        <v>415</v>
      </c>
      <c r="N59" s="174"/>
      <c r="O59" s="174"/>
      <c r="P59" s="174"/>
      <c r="Q59" s="174"/>
      <c r="R59" s="174"/>
      <c r="S59" s="174"/>
      <c r="T59" s="174"/>
      <c r="U59" s="352"/>
    </row>
    <row r="60" spans="1:21" s="1" customFormat="1" x14ac:dyDescent="0.2">
      <c r="A60" s="55"/>
      <c r="B60" s="1061"/>
      <c r="C60" s="174" t="s">
        <v>345</v>
      </c>
      <c r="D60" s="174"/>
      <c r="E60" s="352"/>
      <c r="F60" s="775">
        <f>'2. &amp; 7. T2 TULOSSUUN. '!E31</f>
        <v>0</v>
      </c>
      <c r="G60" s="775">
        <f>'2. &amp; 7. T2 TULOSSUUN. '!G31</f>
        <v>0</v>
      </c>
      <c r="H60" s="775">
        <f>'2. &amp; 7. T2 TULOSSUUN. '!I31</f>
        <v>0</v>
      </c>
      <c r="I60" s="775">
        <f>'2. &amp; 7. T2 TULOSSUUN. '!K31</f>
        <v>0</v>
      </c>
      <c r="J60" s="994">
        <f>'2. &amp; 7. T2 TULOSSUUN. '!M31</f>
        <v>0</v>
      </c>
      <c r="K60" s="688">
        <f>'2. &amp; 7. T2 TULOSSUUN. '!O31</f>
        <v>0</v>
      </c>
      <c r="L60" s="4"/>
      <c r="M60" s="404"/>
      <c r="N60" s="331"/>
      <c r="O60" s="331"/>
      <c r="P60" s="331"/>
      <c r="Q60" s="331"/>
      <c r="R60" s="331"/>
      <c r="S60" s="331"/>
      <c r="T60" s="331"/>
      <c r="U60" s="495"/>
    </row>
    <row r="61" spans="1:21" s="1" customFormat="1" x14ac:dyDescent="0.2">
      <c r="A61"/>
      <c r="B61" s="1061"/>
      <c r="C61" s="1763" t="s">
        <v>359</v>
      </c>
      <c r="D61" s="1763"/>
      <c r="E61" s="1764"/>
      <c r="F61" s="744">
        <v>0</v>
      </c>
      <c r="G61" s="744">
        <v>0</v>
      </c>
      <c r="H61" s="707">
        <f>G61+'1. T1 INVESTOINTISUUN.'!D47</f>
        <v>0</v>
      </c>
      <c r="I61" s="707">
        <f>H61+'1. T1 INVESTOINTISUUN.'!E47</f>
        <v>0</v>
      </c>
      <c r="J61" s="707">
        <f>I61+'1. T1 INVESTOINTISUUN.'!F47</f>
        <v>0</v>
      </c>
      <c r="K61" s="708">
        <f>J61+'1. T1 INVESTOINTISUUN.'!G47</f>
        <v>0</v>
      </c>
      <c r="L61" s="4"/>
      <c r="M61" s="404"/>
      <c r="N61" s="331"/>
      <c r="O61" s="331"/>
      <c r="P61" s="331"/>
      <c r="Q61" s="331"/>
      <c r="R61" s="331"/>
      <c r="S61" s="331"/>
      <c r="T61" s="331"/>
      <c r="U61" s="495"/>
    </row>
    <row r="62" spans="1:21" x14ac:dyDescent="0.2">
      <c r="A62" s="55"/>
      <c r="B62" s="524" t="s">
        <v>227</v>
      </c>
      <c r="C62" s="192" t="s">
        <v>222</v>
      </c>
      <c r="D62" s="192"/>
      <c r="E62" s="194"/>
      <c r="F62" s="577">
        <f t="shared" ref="F62:K62" si="7">F63+F64</f>
        <v>0</v>
      </c>
      <c r="G62" s="577">
        <f>G63+G64</f>
        <v>0</v>
      </c>
      <c r="H62" s="577">
        <f t="shared" si="7"/>
        <v>0</v>
      </c>
      <c r="I62" s="577">
        <f t="shared" si="7"/>
        <v>0</v>
      </c>
      <c r="J62" s="997">
        <f t="shared" si="7"/>
        <v>0</v>
      </c>
      <c r="K62" s="743">
        <f t="shared" si="7"/>
        <v>0</v>
      </c>
      <c r="M62" s="404"/>
      <c r="N62" s="331"/>
      <c r="O62" s="331"/>
      <c r="P62" s="331"/>
      <c r="Q62" s="331"/>
      <c r="R62" s="331"/>
      <c r="S62" s="331"/>
      <c r="T62" s="331"/>
      <c r="U62" s="495"/>
    </row>
    <row r="63" spans="1:21" x14ac:dyDescent="0.2">
      <c r="A63"/>
      <c r="B63" s="1062" t="s">
        <v>0</v>
      </c>
      <c r="C63" s="1041" t="s">
        <v>223</v>
      </c>
      <c r="D63" s="1041"/>
      <c r="E63" s="353"/>
      <c r="F63" s="707">
        <v>0</v>
      </c>
      <c r="G63" s="707">
        <v>0</v>
      </c>
      <c r="H63" s="687">
        <f>G63-'2. &amp; 7. T2 TULOSSUUN. '!I29</f>
        <v>0</v>
      </c>
      <c r="I63" s="687">
        <f>H63-'2. &amp; 7. T2 TULOSSUUN. '!K29</f>
        <v>0</v>
      </c>
      <c r="J63" s="687">
        <f>I63-'2. &amp; 7. T2 TULOSSUUN. '!M29</f>
        <v>0</v>
      </c>
      <c r="K63" s="688">
        <f>J63-'2. &amp; 7. T2 TULOSSUUN. '!O29</f>
        <v>0</v>
      </c>
      <c r="M63" s="404"/>
      <c r="N63" s="331"/>
      <c r="O63" s="331"/>
      <c r="P63" s="331"/>
      <c r="Q63" s="331"/>
      <c r="R63" s="331"/>
      <c r="S63" s="331"/>
      <c r="T63" s="331"/>
      <c r="U63" s="495"/>
    </row>
    <row r="64" spans="1:21" x14ac:dyDescent="0.2">
      <c r="A64" s="55"/>
      <c r="B64" s="1062" t="s">
        <v>0</v>
      </c>
      <c r="C64" s="1759" t="s">
        <v>438</v>
      </c>
      <c r="D64" s="1759"/>
      <c r="E64" s="1760"/>
      <c r="F64" s="707">
        <v>0</v>
      </c>
      <c r="G64" s="707">
        <v>0</v>
      </c>
      <c r="H64" s="687">
        <f>H65*('5. E1 KUSTANNUKSET '!F13*'5. E1 KUSTANNUKSET '!F15+'5. E1 KUSTANNUKSET '!F17+'5. E1 KUSTANNUKSET '!F24)</f>
        <v>0</v>
      </c>
      <c r="I64" s="687">
        <f>I65*('5. E1 KUSTANNUKSET '!H13*'5. E1 KUSTANNUKSET '!H15+'5. E1 KUSTANNUKSET '!H17+'5. E1 KUSTANNUKSET '!H24)</f>
        <v>0</v>
      </c>
      <c r="J64" s="687">
        <f>J65*('5. E1 KUSTANNUKSET '!J13*'5. E1 KUSTANNUKSET '!J15+'5. E1 KUSTANNUKSET '!J17+'5. E1 KUSTANNUKSET '!J24)</f>
        <v>0</v>
      </c>
      <c r="K64" s="688">
        <f>K65*('5. E1 KUSTANNUKSET '!L13*'5. E1 KUSTANNUKSET '!L15+'5. E1 KUSTANNUKSET '!L17+'5. E1 KUSTANNUKSET '!L24)</f>
        <v>0</v>
      </c>
      <c r="M64" s="404"/>
      <c r="N64" s="331"/>
      <c r="O64" s="331"/>
      <c r="P64" s="331"/>
      <c r="Q64" s="331"/>
      <c r="R64" s="331"/>
      <c r="S64" s="331"/>
      <c r="T64" s="331"/>
      <c r="U64" s="495"/>
    </row>
    <row r="65" spans="1:21" x14ac:dyDescent="0.2">
      <c r="A65" s="2"/>
      <c r="B65" s="1062"/>
      <c r="C65" s="1803" t="s">
        <v>627</v>
      </c>
      <c r="D65" s="1804"/>
      <c r="E65" s="1805"/>
      <c r="F65" s="998"/>
      <c r="G65" s="998"/>
      <c r="H65" s="1075">
        <f>G65</f>
        <v>0</v>
      </c>
      <c r="I65" s="1075">
        <f>H65</f>
        <v>0</v>
      </c>
      <c r="J65" s="1076">
        <f>I65</f>
        <v>0</v>
      </c>
      <c r="K65" s="1077">
        <f>J65</f>
        <v>0</v>
      </c>
      <c r="M65" s="404"/>
      <c r="N65" s="331"/>
      <c r="O65" s="331"/>
      <c r="P65" s="331"/>
      <c r="Q65" s="331"/>
      <c r="R65" s="331"/>
      <c r="S65" s="331"/>
      <c r="T65" s="331"/>
      <c r="U65" s="495"/>
    </row>
    <row r="66" spans="1:21" x14ac:dyDescent="0.2">
      <c r="A66" s="55"/>
      <c r="B66" s="524" t="s">
        <v>239</v>
      </c>
      <c r="C66" s="1697" t="s">
        <v>226</v>
      </c>
      <c r="D66" s="1697"/>
      <c r="E66" s="1779"/>
      <c r="F66" s="999">
        <v>0</v>
      </c>
      <c r="G66" s="999">
        <v>0</v>
      </c>
      <c r="H66" s="999"/>
      <c r="I66" s="999"/>
      <c r="J66" s="1000"/>
      <c r="K66" s="1001"/>
      <c r="M66" s="404"/>
      <c r="N66" s="331"/>
      <c r="O66" s="331"/>
      <c r="P66" s="331"/>
      <c r="Q66" s="331"/>
      <c r="R66" s="331"/>
      <c r="S66" s="331"/>
      <c r="T66" s="331"/>
      <c r="U66" s="495"/>
    </row>
    <row r="67" spans="1:21" x14ac:dyDescent="0.2">
      <c r="A67"/>
      <c r="B67" s="524" t="s">
        <v>339</v>
      </c>
      <c r="C67" s="1697" t="s">
        <v>238</v>
      </c>
      <c r="D67" s="1697"/>
      <c r="E67" s="1779"/>
      <c r="F67" s="577">
        <f t="shared" ref="F67:K67" si="8">F68+F69+F71+F74</f>
        <v>0</v>
      </c>
      <c r="G67" s="577">
        <f>G68+G69+G71+G74</f>
        <v>0</v>
      </c>
      <c r="H67" s="577">
        <f>H68+H69+H71+H74</f>
        <v>0</v>
      </c>
      <c r="I67" s="577">
        <f t="shared" si="8"/>
        <v>0</v>
      </c>
      <c r="J67" s="997">
        <f t="shared" si="8"/>
        <v>0</v>
      </c>
      <c r="K67" s="743">
        <f t="shared" si="8"/>
        <v>0</v>
      </c>
      <c r="M67" s="404"/>
      <c r="N67" s="331"/>
      <c r="O67" s="331"/>
      <c r="P67" s="331"/>
      <c r="Q67" s="331"/>
      <c r="R67" s="331"/>
      <c r="S67" s="331"/>
      <c r="T67" s="331"/>
      <c r="U67" s="495"/>
    </row>
    <row r="68" spans="1:21" x14ac:dyDescent="0.2">
      <c r="A68" s="55"/>
      <c r="B68" s="387" t="s">
        <v>0</v>
      </c>
      <c r="C68" s="1785" t="s">
        <v>228</v>
      </c>
      <c r="D68" s="1785"/>
      <c r="E68" s="1786"/>
      <c r="F68" s="707">
        <v>0</v>
      </c>
      <c r="G68" s="707">
        <v>0</v>
      </c>
      <c r="H68" s="687">
        <f>'AT2 Lainat,sotum., alv-osto'!T14+'AT2 Lainat,sotum., alv-osto'!T16+'AT2 Lainat,sotum., alv-osto'!T17+'AT2 Lainat,sotum., alv-osto'!T18-'8. T4 RAHOITUSSUUN. '!H35</f>
        <v>0</v>
      </c>
      <c r="I68" s="687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87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88">
        <f>'AT2 Lainat,sotum., alv-osto'!AL14+'AT2 Lainat,sotum., alv-osto'!AL28-'8. T4 RAHOITUSSUUN. '!H35-'8. T4 RAHOITUSSUUN. '!I35-'8. T4 RAHOITUSSUUN. '!J35-'8. T4 RAHOITUSSUUN. '!K35</f>
        <v>0</v>
      </c>
      <c r="M68" s="404"/>
      <c r="N68" s="331"/>
      <c r="O68" s="331"/>
      <c r="P68" s="331"/>
      <c r="Q68" s="331"/>
      <c r="R68" s="331"/>
      <c r="S68" s="331"/>
      <c r="T68" s="331"/>
      <c r="U68" s="495"/>
    </row>
    <row r="69" spans="1:21" x14ac:dyDescent="0.2">
      <c r="A69"/>
      <c r="B69" s="387" t="s">
        <v>0</v>
      </c>
      <c r="C69" s="1759" t="s">
        <v>243</v>
      </c>
      <c r="D69" s="1759"/>
      <c r="E69" s="1760"/>
      <c r="F69" s="707">
        <v>0</v>
      </c>
      <c r="G69" s="707">
        <v>0</v>
      </c>
      <c r="H69" s="814">
        <f>G69+'1. T1 INVESTOINTISUUN.'!D49</f>
        <v>0</v>
      </c>
      <c r="I69" s="814">
        <f>H69+'1. T1 INVESTOINTISUUN.'!E49</f>
        <v>0</v>
      </c>
      <c r="J69" s="814">
        <f>I69+'1. T1 INVESTOINTISUUN.'!F49</f>
        <v>0</v>
      </c>
      <c r="K69" s="815">
        <f>J69+'1. T1 INVESTOINTISUUN.'!G49</f>
        <v>0</v>
      </c>
      <c r="M69" s="404"/>
      <c r="N69" s="331"/>
      <c r="O69" s="331"/>
      <c r="P69" s="331"/>
      <c r="Q69" s="331"/>
      <c r="R69" s="331"/>
      <c r="S69" s="331"/>
      <c r="T69" s="331"/>
      <c r="U69" s="495"/>
    </row>
    <row r="70" spans="1:21" x14ac:dyDescent="0.2">
      <c r="A70" s="55"/>
      <c r="B70" s="387"/>
      <c r="C70" s="1038" t="s">
        <v>732</v>
      </c>
      <c r="D70" s="1038"/>
      <c r="E70" s="1039"/>
      <c r="F70" s="1002"/>
      <c r="G70" s="1002"/>
      <c r="H70" s="814">
        <v>0</v>
      </c>
      <c r="I70" s="814">
        <v>0</v>
      </c>
      <c r="J70" s="1132">
        <v>0</v>
      </c>
      <c r="K70" s="815"/>
      <c r="M70" s="1433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7"/>
      <c r="O70" s="157"/>
      <c r="P70" s="157"/>
      <c r="Q70" s="157"/>
      <c r="R70" s="157"/>
      <c r="S70" s="157"/>
      <c r="T70" s="157"/>
      <c r="U70" s="547"/>
    </row>
    <row r="71" spans="1:21" x14ac:dyDescent="0.2">
      <c r="A71" s="2"/>
      <c r="B71" s="387" t="s">
        <v>0</v>
      </c>
      <c r="C71" s="233" t="s">
        <v>241</v>
      </c>
      <c r="D71" s="233"/>
      <c r="E71" s="236"/>
      <c r="F71" s="687">
        <f t="shared" ref="F71:K71" si="9">F72+F73</f>
        <v>0</v>
      </c>
      <c r="G71" s="687">
        <f t="shared" si="9"/>
        <v>0</v>
      </c>
      <c r="H71" s="687">
        <f t="shared" si="9"/>
        <v>0</v>
      </c>
      <c r="I71" s="687">
        <f t="shared" si="9"/>
        <v>0</v>
      </c>
      <c r="J71" s="969">
        <f t="shared" si="9"/>
        <v>0</v>
      </c>
      <c r="K71" s="688">
        <f t="shared" si="9"/>
        <v>0</v>
      </c>
      <c r="M71" s="404"/>
      <c r="N71" s="331"/>
      <c r="O71" s="331"/>
      <c r="P71" s="331"/>
      <c r="Q71" s="331"/>
      <c r="R71" s="331"/>
      <c r="S71" s="331"/>
      <c r="T71" s="331"/>
      <c r="U71" s="495"/>
    </row>
    <row r="72" spans="1:21" x14ac:dyDescent="0.2">
      <c r="A72" s="55"/>
      <c r="B72" s="387"/>
      <c r="C72" s="233" t="s">
        <v>735</v>
      </c>
      <c r="D72" s="233"/>
      <c r="E72" s="236"/>
      <c r="F72" s="707">
        <v>0</v>
      </c>
      <c r="G72" s="707">
        <v>0</v>
      </c>
      <c r="H72" s="707">
        <f>G72</f>
        <v>0</v>
      </c>
      <c r="I72" s="707">
        <f>H72</f>
        <v>0</v>
      </c>
      <c r="J72" s="707">
        <f>I72</f>
        <v>0</v>
      </c>
      <c r="K72" s="708">
        <f>J72</f>
        <v>0</v>
      </c>
      <c r="M72" s="1433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31"/>
      <c r="O72" s="331"/>
      <c r="P72" s="331"/>
      <c r="Q72" s="331"/>
      <c r="R72" s="331"/>
      <c r="S72" s="331"/>
      <c r="T72" s="331"/>
      <c r="U72" s="495"/>
    </row>
    <row r="73" spans="1:21" x14ac:dyDescent="0.2">
      <c r="A73"/>
      <c r="B73" s="387"/>
      <c r="C73" s="233" t="s">
        <v>743</v>
      </c>
      <c r="D73" s="233"/>
      <c r="E73" s="236"/>
      <c r="F73" s="1066">
        <v>0</v>
      </c>
      <c r="G73" s="707">
        <v>0</v>
      </c>
      <c r="H73" s="687">
        <f>'AT2 Lainat,sotum., alv-osto'!T40+'AT2 Lainat,sotum., alv-osto'!T44</f>
        <v>0</v>
      </c>
      <c r="I73" s="687">
        <f>'AT2 Lainat,sotum., alv-osto'!Z40+'AT2 Lainat,sotum., alv-osto'!Z44+'AT2 Lainat,sotum., alv-osto'!Z47</f>
        <v>0</v>
      </c>
      <c r="J73" s="687">
        <f>'AT2 Lainat,sotum., alv-osto'!AF40+'AT2 Lainat,sotum., alv-osto'!AF44+'AT2 Lainat,sotum., alv-osto'!AF47+'AT2 Lainat,sotum., alv-osto'!AF50</f>
        <v>0</v>
      </c>
      <c r="K73" s="688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404"/>
      <c r="N73" s="331"/>
      <c r="O73" s="331"/>
      <c r="P73" s="331"/>
      <c r="Q73" s="331"/>
      <c r="R73" s="331"/>
      <c r="S73" s="331"/>
      <c r="T73" s="331"/>
      <c r="U73" s="495"/>
    </row>
    <row r="74" spans="1:21" x14ac:dyDescent="0.2">
      <c r="A74" s="55"/>
      <c r="B74" s="387"/>
      <c r="C74" s="1759" t="s">
        <v>242</v>
      </c>
      <c r="D74" s="1759"/>
      <c r="E74" s="1760"/>
      <c r="F74" s="707">
        <v>0</v>
      </c>
      <c r="G74" s="707">
        <v>0</v>
      </c>
      <c r="H74" s="707">
        <f>G74</f>
        <v>0</v>
      </c>
      <c r="I74" s="707">
        <f>H74</f>
        <v>0</v>
      </c>
      <c r="J74" s="707">
        <f>I74</f>
        <v>0</v>
      </c>
      <c r="K74" s="708">
        <f>J74</f>
        <v>0</v>
      </c>
      <c r="M74" s="1433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81"/>
      <c r="O74" s="481"/>
      <c r="P74" s="481"/>
      <c r="Q74" s="481"/>
      <c r="R74" s="481"/>
      <c r="S74" s="481"/>
      <c r="T74" s="481"/>
      <c r="U74" s="1463"/>
    </row>
    <row r="75" spans="1:21" x14ac:dyDescent="0.2">
      <c r="A75"/>
      <c r="B75" s="524" t="s">
        <v>340</v>
      </c>
      <c r="C75" s="1697" t="s">
        <v>240</v>
      </c>
      <c r="D75" s="1697"/>
      <c r="E75" s="1779"/>
      <c r="F75" s="577">
        <f t="shared" ref="F75:K75" si="10">F76+F79+F80+F84+F91+F96</f>
        <v>0</v>
      </c>
      <c r="G75" s="577">
        <f>G76+G79+G80+G84+G91+G96</f>
        <v>0</v>
      </c>
      <c r="H75" s="577">
        <f t="shared" si="10"/>
        <v>0</v>
      </c>
      <c r="I75" s="577">
        <f t="shared" si="10"/>
        <v>0</v>
      </c>
      <c r="J75" s="577">
        <f t="shared" si="10"/>
        <v>0</v>
      </c>
      <c r="K75" s="743">
        <f t="shared" si="10"/>
        <v>0</v>
      </c>
      <c r="M75" s="1433">
        <f>IF(H74&gt;0,"LISÄÄ EM. VELAN KORKO 4. T7 LAINAT-LOMAKKEEN KOHTAAN 'Korot pitkäaikaisista veloista, ei velkakirjaa'!",IF(I74&gt;0,"LISÄÄ  EM. VELAN KORKO 4. T7 LAINAT-LOMAKKEEN KOHTAAN 'Korot pitkäaikaisista veloista, ei velkakirjaa'!",IF(J74&gt;0,"LISÄÄ  EM. VELAN KORKO 4. T7 LAINAT-LOMAKKEEN KOHTAAN 'Korot pitkäaikaisista veloista, ei velkakirjaa'!",IF(K74&gt;0,"LISÄÄ  EM. VELAN KORKO 4. T7 LAINAT-LOMAKKEEN KOHTAAN 'Korot pitkäaikaisista veloista, ei velkakirjaa'!",0))))</f>
        <v>0</v>
      </c>
      <c r="N75" s="157"/>
      <c r="O75" s="157"/>
      <c r="P75" s="157"/>
      <c r="Q75" s="157"/>
      <c r="R75" s="157"/>
      <c r="S75" s="157"/>
      <c r="T75" s="157"/>
      <c r="U75" s="547"/>
    </row>
    <row r="76" spans="1:21" x14ac:dyDescent="0.2">
      <c r="A76" s="55"/>
      <c r="B76" s="387" t="s">
        <v>0</v>
      </c>
      <c r="C76" s="1785" t="s">
        <v>228</v>
      </c>
      <c r="D76" s="1785"/>
      <c r="E76" s="1786"/>
      <c r="F76" s="1002">
        <f t="shared" ref="F76:K76" si="11">F77+F78</f>
        <v>0</v>
      </c>
      <c r="G76" s="1002">
        <f t="shared" si="11"/>
        <v>0</v>
      </c>
      <c r="H76" s="1002">
        <f t="shared" si="11"/>
        <v>0</v>
      </c>
      <c r="I76" s="1002">
        <f t="shared" si="11"/>
        <v>0</v>
      </c>
      <c r="J76" s="1002">
        <f t="shared" si="11"/>
        <v>0</v>
      </c>
      <c r="K76" s="1067">
        <f t="shared" si="11"/>
        <v>0</v>
      </c>
      <c r="M76" s="404"/>
      <c r="N76" s="331"/>
      <c r="O76" s="331"/>
      <c r="P76" s="331"/>
      <c r="Q76" s="331"/>
      <c r="R76" s="331"/>
      <c r="S76" s="331"/>
      <c r="T76" s="331"/>
      <c r="U76" s="495"/>
    </row>
    <row r="77" spans="1:21" x14ac:dyDescent="0.2">
      <c r="A77" s="2"/>
      <c r="B77" s="387"/>
      <c r="C77" s="1041" t="s">
        <v>733</v>
      </c>
      <c r="D77" s="1041"/>
      <c r="E77" s="1042"/>
      <c r="F77" s="707">
        <v>0</v>
      </c>
      <c r="G77" s="707">
        <v>0</v>
      </c>
      <c r="H77" s="687">
        <f>'4. T7 LAINAT '!I18+'4. T7 LAINAT '!J24+'4. T7 LAINAT '!J25+'4. T7 LAINAT '!J26</f>
        <v>0</v>
      </c>
      <c r="I77" s="687">
        <f>'4. T7 LAINAT '!L18+'4. T7 LAINAT '!M24+'4. T7 LAINAT '!M25+'4. T7 LAINAT '!M26+'4. T7 LAINAT '!M28+'4. T7 LAINAT '!M29+'4. T7 LAINAT '!M30</f>
        <v>0</v>
      </c>
      <c r="J77" s="687">
        <f>'4. T7 LAINAT '!O18+'4. T7 LAINAT '!P24+'4. T7 LAINAT '!P25+'4. T7 LAINAT '!P26+'4. T7 LAINAT '!P28+'4. T7 LAINAT '!P29+'4. T7 LAINAT '!P30+'4. T7 LAINAT '!P32+'4. T7 LAINAT '!P33+'4. T7 LAINAT '!P34</f>
        <v>0</v>
      </c>
      <c r="K77" s="688">
        <f>'AT2 Lainat,sotum., alv-osto'!AJ14+'AT2 Lainat,sotum., alv-osto'!AJ28</f>
        <v>0</v>
      </c>
      <c r="M77" s="404"/>
      <c r="N77" s="331"/>
      <c r="O77" s="331"/>
      <c r="P77" s="331"/>
      <c r="Q77" s="331"/>
      <c r="R77" s="331"/>
      <c r="S77" s="331"/>
      <c r="T77" s="331"/>
      <c r="U77" s="495"/>
    </row>
    <row r="78" spans="1:21" x14ac:dyDescent="0.2">
      <c r="A78" s="55"/>
      <c r="B78" s="387"/>
      <c r="C78" s="1759" t="s">
        <v>734</v>
      </c>
      <c r="D78" s="1759"/>
      <c r="E78" s="1760"/>
      <c r="F78" s="707">
        <v>0</v>
      </c>
      <c r="G78" s="707">
        <v>0</v>
      </c>
      <c r="H78" s="707">
        <f t="shared" ref="H78:K79" si="12">G78</f>
        <v>0</v>
      </c>
      <c r="I78" s="707">
        <f t="shared" si="12"/>
        <v>0</v>
      </c>
      <c r="J78" s="707">
        <f t="shared" si="12"/>
        <v>0</v>
      </c>
      <c r="K78" s="708">
        <f t="shared" si="12"/>
        <v>0</v>
      </c>
      <c r="M78" s="1433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81"/>
      <c r="O78" s="481"/>
      <c r="P78" s="481"/>
      <c r="Q78" s="481"/>
      <c r="R78" s="481"/>
      <c r="S78" s="481"/>
      <c r="T78" s="481"/>
      <c r="U78" s="1463"/>
    </row>
    <row r="79" spans="1:21" x14ac:dyDescent="0.2">
      <c r="A79"/>
      <c r="B79" s="387" t="s">
        <v>0</v>
      </c>
      <c r="C79" s="1759" t="s">
        <v>243</v>
      </c>
      <c r="D79" s="1759"/>
      <c r="E79" s="1760"/>
      <c r="F79" s="707">
        <v>0</v>
      </c>
      <c r="G79" s="707">
        <v>0</v>
      </c>
      <c r="H79" s="707">
        <f>G79</f>
        <v>0</v>
      </c>
      <c r="I79" s="707">
        <f t="shared" si="12"/>
        <v>0</v>
      </c>
      <c r="J79" s="707">
        <f t="shared" si="12"/>
        <v>0</v>
      </c>
      <c r="K79" s="708">
        <f t="shared" si="12"/>
        <v>0</v>
      </c>
      <c r="M79" s="404"/>
      <c r="N79" s="331"/>
      <c r="O79" s="331"/>
      <c r="P79" s="331"/>
      <c r="Q79" s="331"/>
      <c r="R79" s="331"/>
      <c r="S79" s="331"/>
      <c r="T79" s="331"/>
      <c r="U79" s="495"/>
    </row>
    <row r="80" spans="1:21" x14ac:dyDescent="0.2">
      <c r="A80" s="55"/>
      <c r="B80" s="387" t="s">
        <v>0</v>
      </c>
      <c r="C80" s="233" t="s">
        <v>241</v>
      </c>
      <c r="D80" s="233"/>
      <c r="E80" s="236"/>
      <c r="F80" s="687">
        <f t="shared" ref="F80:K80" si="13">F81+F83</f>
        <v>0</v>
      </c>
      <c r="G80" s="687">
        <f t="shared" si="13"/>
        <v>0</v>
      </c>
      <c r="H80" s="687">
        <f t="shared" si="13"/>
        <v>0</v>
      </c>
      <c r="I80" s="687">
        <f t="shared" si="13"/>
        <v>0</v>
      </c>
      <c r="J80" s="969">
        <f t="shared" si="13"/>
        <v>0</v>
      </c>
      <c r="K80" s="688">
        <f t="shared" si="13"/>
        <v>0</v>
      </c>
      <c r="M80" s="404"/>
      <c r="N80" s="331"/>
      <c r="O80" s="331"/>
      <c r="P80" s="331"/>
      <c r="Q80" s="331"/>
      <c r="R80" s="331"/>
      <c r="S80" s="331"/>
      <c r="T80" s="331"/>
      <c r="U80" s="495"/>
    </row>
    <row r="81" spans="1:21" x14ac:dyDescent="0.2">
      <c r="A81" s="2"/>
      <c r="B81" s="387"/>
      <c r="C81" s="233" t="s">
        <v>735</v>
      </c>
      <c r="D81" s="233"/>
      <c r="E81" s="236"/>
      <c r="F81" s="707">
        <v>0</v>
      </c>
      <c r="G81" s="707">
        <v>0</v>
      </c>
      <c r="H81" s="687">
        <f>'8. T4 RAHOITUSSUUN. '!H56</f>
        <v>0</v>
      </c>
      <c r="I81" s="687">
        <f>'8. T4 RAHOITUSSUUN. '!I56</f>
        <v>0</v>
      </c>
      <c r="J81" s="687">
        <f>'8. T4 RAHOITUSSUUN. '!J56</f>
        <v>0</v>
      </c>
      <c r="K81" s="688">
        <f>'8. T4 RAHOITUSSUUN. '!K56</f>
        <v>0</v>
      </c>
      <c r="M81" s="404"/>
      <c r="N81" s="331"/>
      <c r="O81" s="331"/>
      <c r="P81" s="331"/>
      <c r="Q81" s="331"/>
      <c r="R81" s="331"/>
      <c r="S81" s="331"/>
      <c r="T81" s="331"/>
      <c r="U81" s="495"/>
    </row>
    <row r="82" spans="1:21" x14ac:dyDescent="0.2">
      <c r="A82" s="55"/>
      <c r="B82" s="387"/>
      <c r="C82" s="1753" t="s">
        <v>631</v>
      </c>
      <c r="D82" s="1754"/>
      <c r="E82" s="1755"/>
      <c r="F82" s="983">
        <f>'8. T4 RAHOITUSSUUN. '!F57</f>
        <v>0</v>
      </c>
      <c r="G82" s="983">
        <f>'8. T4 RAHOITUSSUUN. '!G57</f>
        <v>0</v>
      </c>
      <c r="H82" s="983">
        <f>'8. T4 RAHOITUSSUUN. '!H57</f>
        <v>0</v>
      </c>
      <c r="I82" s="983">
        <f>'8. T4 RAHOITUSSUUN. '!I57</f>
        <v>0</v>
      </c>
      <c r="J82" s="983">
        <f>'8. T4 RAHOITUSSUUN. '!J57</f>
        <v>0</v>
      </c>
      <c r="K82" s="984">
        <f>'8. T4 RAHOITUSSUUN. '!K57</f>
        <v>0</v>
      </c>
      <c r="M82" s="404"/>
      <c r="N82" s="331"/>
      <c r="O82" s="331"/>
      <c r="P82" s="331"/>
      <c r="Q82" s="331"/>
      <c r="R82" s="331"/>
      <c r="S82" s="331"/>
      <c r="T82" s="331"/>
      <c r="U82" s="495"/>
    </row>
    <row r="83" spans="1:21" x14ac:dyDescent="0.2">
      <c r="B83" s="387"/>
      <c r="C83" s="233" t="s">
        <v>736</v>
      </c>
      <c r="D83" s="233"/>
      <c r="E83" s="236"/>
      <c r="F83" s="707">
        <v>0</v>
      </c>
      <c r="G83" s="707">
        <v>0</v>
      </c>
      <c r="H83" s="687">
        <f>'AT2 Lainat,sotum., alv-osto'!R43+'AT2 Lainat,sotum., alv-osto'!R44</f>
        <v>0</v>
      </c>
      <c r="I83" s="687">
        <f>'AT2 Lainat,sotum., alv-osto'!X40+'AT2 Lainat,sotum., alv-osto'!X44+'AT2 Lainat,sotum., alv-osto'!X47</f>
        <v>0</v>
      </c>
      <c r="J83" s="687">
        <f>'AT2 Lainat,sotum., alv-osto'!AD40+'AT2 Lainat,sotum., alv-osto'!AD44+'AT2 Lainat,sotum., alv-osto'!AD47+'AT2 Lainat,sotum., alv-osto'!AD50</f>
        <v>0</v>
      </c>
      <c r="K83" s="688">
        <f>'AT2 Lainat,sotum., alv-osto'!AJ40+'AT2 Lainat,sotum., alv-osto'!AJ44+'AT2 Lainat,sotum., alv-osto'!AJ47+'AT2 Lainat,sotum., alv-osto'!AJ50+'AT2 Lainat,sotum., alv-osto'!AJ53</f>
        <v>0</v>
      </c>
      <c r="M83" s="404"/>
      <c r="N83" s="331"/>
      <c r="O83" s="331"/>
      <c r="P83" s="331"/>
      <c r="Q83" s="331"/>
      <c r="R83" s="331"/>
      <c r="S83" s="331"/>
      <c r="T83" s="331"/>
      <c r="U83" s="495"/>
    </row>
    <row r="84" spans="1:21" x14ac:dyDescent="0.2">
      <c r="B84" s="387"/>
      <c r="C84" s="1759" t="s">
        <v>244</v>
      </c>
      <c r="D84" s="1759"/>
      <c r="E84" s="1760"/>
      <c r="F84" s="687">
        <f t="shared" ref="F84:K84" si="14">F85+F87+F88+F90</f>
        <v>0</v>
      </c>
      <c r="G84" s="687">
        <f t="shared" si="14"/>
        <v>0</v>
      </c>
      <c r="H84" s="687">
        <f t="shared" si="14"/>
        <v>0</v>
      </c>
      <c r="I84" s="687">
        <f t="shared" si="14"/>
        <v>0</v>
      </c>
      <c r="J84" s="969">
        <f t="shared" si="14"/>
        <v>0</v>
      </c>
      <c r="K84" s="688">
        <f t="shared" si="14"/>
        <v>0</v>
      </c>
      <c r="M84" s="404"/>
      <c r="N84" s="331"/>
      <c r="O84" s="331"/>
      <c r="P84" s="331"/>
      <c r="Q84" s="331"/>
      <c r="R84" s="331"/>
      <c r="S84" s="331"/>
      <c r="T84" s="331"/>
      <c r="U84" s="495"/>
    </row>
    <row r="85" spans="1:21" ht="26.45" customHeight="1" x14ac:dyDescent="0.2">
      <c r="B85" s="387"/>
      <c r="C85" s="1761" t="s">
        <v>580</v>
      </c>
      <c r="D85" s="1761"/>
      <c r="E85" s="1762"/>
      <c r="F85" s="744">
        <v>0</v>
      </c>
      <c r="G85" s="744">
        <v>0</v>
      </c>
      <c r="H85" s="775">
        <f>H86*('5. E1 KUSTANNUKSET '!F13+'5. E1 KUSTANNUKSET '!F14+'5. E1 KUSTANNUKSET '!F22/12+'5. E1 KUSTANNUKSET '!F17/12+'5. E1 KUSTANNUKSET '!F24/12+'5. E1 KUSTANNUKSET '!F28/12)</f>
        <v>0</v>
      </c>
      <c r="I85" s="775">
        <f>I86*('5. E1 KUSTANNUKSET '!H13+'5. E1 KUSTANNUKSET '!H14+'5. E1 KUSTANNUKSET '!H22/12+'5. E1 KUSTANNUKSET '!H17/12+'5. E1 KUSTANNUKSET '!H24/12+'5. E1 KUSTANNUKSET '!H28/12)</f>
        <v>0</v>
      </c>
      <c r="J85" s="775">
        <f>J86*('5. E1 KUSTANNUKSET '!J13+'5. E1 KUSTANNUKSET '!J14+'5. E1 KUSTANNUKSET '!J22/12+'5. E1 KUSTANNUKSET '!J17/12+'5. E1 KUSTANNUKSET '!J24/12+'5. E1 KUSTANNUKSET '!J28/12)</f>
        <v>0</v>
      </c>
      <c r="K85" s="688">
        <f>K86*('5. E1 KUSTANNUKSET '!L13+'5. E1 KUSTANNUKSET '!L14+'5. E1 KUSTANNUKSET '!L22/12+'5. E1 KUSTANNUKSET '!L17/12+'5. E1 KUSTANNUKSET '!L24/12+'5. E1 KUSTANNUKSET '!L28/12)</f>
        <v>0</v>
      </c>
      <c r="M85" s="404"/>
      <c r="N85" s="331"/>
      <c r="O85" s="331"/>
      <c r="P85" s="331"/>
      <c r="Q85" s="331"/>
      <c r="R85" s="331"/>
      <c r="S85" s="331"/>
      <c r="T85" s="331"/>
      <c r="U85" s="495"/>
    </row>
    <row r="86" spans="1:21" x14ac:dyDescent="0.2">
      <c r="B86" s="387"/>
      <c r="C86" s="1750" t="s">
        <v>628</v>
      </c>
      <c r="D86" s="1751"/>
      <c r="E86" s="1752"/>
      <c r="F86" s="985"/>
      <c r="G86" s="985"/>
      <c r="H86" s="1078">
        <v>0.25</v>
      </c>
      <c r="I86" s="1078">
        <f>H86</f>
        <v>0.25</v>
      </c>
      <c r="J86" s="1078">
        <f>I86</f>
        <v>0.25</v>
      </c>
      <c r="K86" s="1079">
        <f>J86</f>
        <v>0.25</v>
      </c>
      <c r="M86" s="404"/>
      <c r="N86" s="331"/>
      <c r="O86" s="331"/>
      <c r="P86" s="331"/>
      <c r="Q86" s="331" t="s">
        <v>0</v>
      </c>
      <c r="R86" s="331"/>
      <c r="S86" s="331"/>
      <c r="T86" s="331"/>
      <c r="U86" s="495"/>
    </row>
    <row r="87" spans="1:21" x14ac:dyDescent="0.2">
      <c r="B87" s="387"/>
      <c r="C87" s="1038" t="s">
        <v>737</v>
      </c>
      <c r="D87" s="1038"/>
      <c r="E87" s="1038"/>
      <c r="F87" s="744">
        <v>0</v>
      </c>
      <c r="G87" s="744">
        <v>0</v>
      </c>
      <c r="H87" s="775">
        <f>'9. T5 KASSABUDJETTI '!AD23*('5. E1 KUSTANNUKSET '!F13+'5. E1 KUSTANNUKSET '!F14+'5. E1 KUSTANNUKSET '!F17/12+'5. E1 KUSTANNUKSET '!F22/12+'5. E1 KUSTANNUKSET '!F24/12+'5. E1 KUSTANNUKSET '!F28/12)</f>
        <v>0</v>
      </c>
      <c r="I87" s="775">
        <f>'9. T5 KASSABUDJETTI '!AD23*('5. E1 KUSTANNUKSET '!H13+'5. E1 KUSTANNUKSET '!H14+'5. E1 KUSTANNUKSET '!H17/12+'5. E1 KUSTANNUKSET '!H22/12+'5. E1 KUSTANNUKSET '!H24/12+'5. E1 KUSTANNUKSET '!H28/12)</f>
        <v>0</v>
      </c>
      <c r="J87" s="775">
        <f>'9. T5 KASSABUDJETTI '!AD23*('5. E1 KUSTANNUKSET '!J13+'5. E1 KUSTANNUKSET '!J14+'5. E1 KUSTANNUKSET '!J17/12+'5. E1 KUSTANNUKSET '!J22/12+'5. E1 KUSTANNUKSET '!J24/12+'5. E1 KUSTANNUKSET '!J28/12)</f>
        <v>0</v>
      </c>
      <c r="K87" s="688">
        <f>'9. T5 KASSABUDJETTI '!AD23*('5. E1 KUSTANNUKSET '!L13+'5. E1 KUSTANNUKSET '!L14+'5. E1 KUSTANNUKSET '!L17/12+'5. E1 KUSTANNUKSET '!L22/12+'5. E1 KUSTANNUKSET '!L24/12+'5. E1 KUSTANNUKSET '!L28/12)</f>
        <v>0</v>
      </c>
      <c r="M87" s="404"/>
      <c r="N87" s="331"/>
      <c r="O87" s="331"/>
      <c r="P87" s="331"/>
      <c r="Q87" s="331"/>
      <c r="R87" s="331"/>
      <c r="S87" s="331"/>
      <c r="T87" s="331"/>
      <c r="U87" s="495"/>
    </row>
    <row r="88" spans="1:21" x14ac:dyDescent="0.2">
      <c r="B88" s="387"/>
      <c r="C88" s="1759" t="s">
        <v>738</v>
      </c>
      <c r="D88" s="1759"/>
      <c r="E88" s="1759"/>
      <c r="F88" s="744">
        <v>0</v>
      </c>
      <c r="G88" s="744">
        <v>0</v>
      </c>
      <c r="H88" s="775">
        <f>IF('2. &amp; 7. T2 TULOSSUUN. '!I11=0,0,'2. &amp; 7. T2 TULOSSUUN. '!I11*'3. T3 TASE '!H89)</f>
        <v>0</v>
      </c>
      <c r="I88" s="775">
        <f>IF('2. &amp; 7. T2 TULOSSUUN. '!K11=0,0,'2. &amp; 7. T2 TULOSSUUN. '!K11*'3. T3 TASE '!I89)</f>
        <v>0</v>
      </c>
      <c r="J88" s="775">
        <f>IF('2. &amp; 7. T2 TULOSSUUN. '!M11=0,0,'2. &amp; 7. T2 TULOSSUUN. '!M11*'3. T3 TASE '!J89)</f>
        <v>0</v>
      </c>
      <c r="K88" s="688">
        <f>IF('2. &amp; 7. T2 TULOSSUUN. '!O11=0,0,'2. &amp; 7. T2 TULOSSUUN. '!O11*'3. T3 TASE '!K89)</f>
        <v>0</v>
      </c>
      <c r="M88" s="404"/>
      <c r="N88" s="331"/>
      <c r="O88" s="331"/>
      <c r="P88" s="331"/>
      <c r="Q88" s="331"/>
      <c r="R88" s="331"/>
      <c r="S88" s="331"/>
      <c r="T88" s="331"/>
      <c r="U88" s="495"/>
    </row>
    <row r="89" spans="1:21" x14ac:dyDescent="0.2">
      <c r="A89"/>
      <c r="B89" s="387"/>
      <c r="C89" s="1750" t="s">
        <v>630</v>
      </c>
      <c r="D89" s="1751"/>
      <c r="E89" s="1752"/>
      <c r="F89" s="1003">
        <f>IF('2. &amp; 7. T2 TULOSSUUN. '!E11=0,0,F88/'2. &amp; 7. T2 TULOSSUUN. '!E11)</f>
        <v>0</v>
      </c>
      <c r="G89" s="1003">
        <f>IF('2. &amp; 7. T2 TULOSSUUN. '!G11=0,0,G88/'2. &amp; 7. T2 TULOSSUUN. '!G11)</f>
        <v>0</v>
      </c>
      <c r="H89" s="1075">
        <f>G89</f>
        <v>0</v>
      </c>
      <c r="I89" s="1075">
        <f t="shared" ref="H89:K90" si="15">H89</f>
        <v>0</v>
      </c>
      <c r="J89" s="1075">
        <f t="shared" si="15"/>
        <v>0</v>
      </c>
      <c r="K89" s="1077">
        <f t="shared" si="15"/>
        <v>0</v>
      </c>
      <c r="M89" s="404"/>
      <c r="N89" s="331"/>
      <c r="O89" s="331"/>
      <c r="P89" s="331"/>
      <c r="Q89" s="331"/>
      <c r="R89" s="331"/>
      <c r="S89" s="331"/>
      <c r="T89" s="331"/>
      <c r="U89" s="495"/>
    </row>
    <row r="90" spans="1:21" x14ac:dyDescent="0.2">
      <c r="A90" s="6"/>
      <c r="B90" s="387"/>
      <c r="C90" s="1759" t="s">
        <v>739</v>
      </c>
      <c r="D90" s="1759"/>
      <c r="E90" s="1759"/>
      <c r="F90" s="744">
        <v>0</v>
      </c>
      <c r="G90" s="744">
        <v>0</v>
      </c>
      <c r="H90" s="744">
        <f t="shared" si="15"/>
        <v>0</v>
      </c>
      <c r="I90" s="744">
        <f t="shared" si="15"/>
        <v>0</v>
      </c>
      <c r="J90" s="744">
        <f t="shared" si="15"/>
        <v>0</v>
      </c>
      <c r="K90" s="708">
        <f t="shared" si="15"/>
        <v>0</v>
      </c>
      <c r="M90" s="404"/>
      <c r="N90" s="331"/>
      <c r="O90" s="331"/>
      <c r="P90" s="331"/>
      <c r="Q90" s="331"/>
      <c r="R90" s="331"/>
      <c r="S90" s="331"/>
      <c r="T90" s="331"/>
      <c r="U90" s="495"/>
    </row>
    <row r="91" spans="1:21" s="1" customFormat="1" x14ac:dyDescent="0.2">
      <c r="B91" s="387" t="s">
        <v>0</v>
      </c>
      <c r="C91" s="233" t="s">
        <v>245</v>
      </c>
      <c r="D91" s="238"/>
      <c r="E91" s="385"/>
      <c r="F91" s="1004">
        <f t="shared" ref="F91:K91" si="16">F93+F92+F94</f>
        <v>0</v>
      </c>
      <c r="G91" s="1004">
        <f t="shared" si="16"/>
        <v>0</v>
      </c>
      <c r="H91" s="1004">
        <f t="shared" si="16"/>
        <v>0</v>
      </c>
      <c r="I91" s="1004">
        <f t="shared" si="16"/>
        <v>0</v>
      </c>
      <c r="J91" s="1004">
        <f t="shared" si="16"/>
        <v>0</v>
      </c>
      <c r="K91" s="1005">
        <f t="shared" si="16"/>
        <v>0</v>
      </c>
      <c r="M91" s="404"/>
      <c r="N91" s="331"/>
      <c r="O91" s="331"/>
      <c r="P91" s="331"/>
      <c r="Q91" s="331"/>
      <c r="R91" s="331"/>
      <c r="S91" s="331"/>
      <c r="T91" s="331"/>
      <c r="U91" s="495"/>
    </row>
    <row r="92" spans="1:21" s="1" customFormat="1" x14ac:dyDescent="0.2">
      <c r="B92" s="387"/>
      <c r="C92" s="1759" t="s">
        <v>740</v>
      </c>
      <c r="D92" s="1759"/>
      <c r="E92" s="1759"/>
      <c r="F92" s="707">
        <v>0</v>
      </c>
      <c r="G92" s="707">
        <v>0</v>
      </c>
      <c r="H92" s="744">
        <v>0</v>
      </c>
      <c r="I92" s="744">
        <v>0</v>
      </c>
      <c r="J92" s="744">
        <v>0</v>
      </c>
      <c r="K92" s="708">
        <v>0</v>
      </c>
      <c r="M92" s="1464" t="s">
        <v>0</v>
      </c>
      <c r="N92" s="1465"/>
      <c r="O92" s="1465"/>
      <c r="P92" s="1465"/>
      <c r="Q92" s="1465"/>
      <c r="R92" s="1466"/>
      <c r="S92" s="1465"/>
      <c r="T92" s="1465"/>
      <c r="U92" s="1467"/>
    </row>
    <row r="93" spans="1:21" s="1" customFormat="1" x14ac:dyDescent="0.2">
      <c r="B93" s="387"/>
      <c r="C93" s="1785" t="s">
        <v>741</v>
      </c>
      <c r="D93" s="1785"/>
      <c r="E93" s="1785"/>
      <c r="F93" s="707">
        <v>0</v>
      </c>
      <c r="G93" s="707">
        <v>0</v>
      </c>
      <c r="H93" s="707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707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707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708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404"/>
      <c r="N93" s="331"/>
      <c r="O93" s="331"/>
      <c r="P93" s="331"/>
      <c r="Q93" s="331"/>
      <c r="R93" s="331"/>
      <c r="S93" s="331"/>
      <c r="T93" s="331"/>
      <c r="U93" s="495"/>
    </row>
    <row r="94" spans="1:21" s="1" customFormat="1" x14ac:dyDescent="0.2">
      <c r="B94" s="387"/>
      <c r="C94" s="233" t="s">
        <v>742</v>
      </c>
      <c r="D94" s="238"/>
      <c r="E94" s="355"/>
      <c r="F94" s="707">
        <v>0</v>
      </c>
      <c r="G94" s="707">
        <v>0</v>
      </c>
      <c r="H94" s="775">
        <f>H93*H95</f>
        <v>0</v>
      </c>
      <c r="I94" s="775">
        <f>I93*I95</f>
        <v>0</v>
      </c>
      <c r="J94" s="775">
        <f>J93*J95</f>
        <v>0</v>
      </c>
      <c r="K94" s="688">
        <f>K93*K95</f>
        <v>0</v>
      </c>
      <c r="M94" s="404"/>
      <c r="N94" s="331"/>
      <c r="O94" s="331"/>
      <c r="P94" s="331"/>
      <c r="Q94" s="331"/>
      <c r="R94" s="331"/>
      <c r="S94" s="331"/>
      <c r="T94" s="331"/>
      <c r="U94" s="495"/>
    </row>
    <row r="95" spans="1:21" s="1" customFormat="1" x14ac:dyDescent="0.2">
      <c r="B95" s="387"/>
      <c r="C95" s="1806" t="s">
        <v>629</v>
      </c>
      <c r="D95" s="1807"/>
      <c r="E95" s="1808"/>
      <c r="F95" s="985">
        <f>IF(F93=0,0,F94/F93)</f>
        <v>0</v>
      </c>
      <c r="G95" s="985">
        <f>IF(G93=0,0,G94/G93)</f>
        <v>0</v>
      </c>
      <c r="H95" s="1078">
        <v>0.2021</v>
      </c>
      <c r="I95" s="1078">
        <f>H95</f>
        <v>0.2021</v>
      </c>
      <c r="J95" s="1078">
        <f>I95</f>
        <v>0.2021</v>
      </c>
      <c r="K95" s="1079">
        <f>J95</f>
        <v>0.2021</v>
      </c>
      <c r="M95" s="404"/>
      <c r="N95" s="331"/>
      <c r="O95" s="331"/>
      <c r="P95" s="331"/>
      <c r="Q95" s="331"/>
      <c r="R95" s="331"/>
      <c r="S95" s="331"/>
      <c r="T95" s="331"/>
      <c r="U95" s="495"/>
    </row>
    <row r="96" spans="1:21" ht="13.5" thickBot="1" x14ac:dyDescent="0.25">
      <c r="B96" s="1063"/>
      <c r="C96" s="1787" t="s">
        <v>252</v>
      </c>
      <c r="D96" s="1787"/>
      <c r="E96" s="1788"/>
      <c r="F96" s="979">
        <v>0</v>
      </c>
      <c r="G96" s="979">
        <v>0</v>
      </c>
      <c r="H96" s="979">
        <f>'8. T4 RAHOITUSSUUN. '!H58</f>
        <v>0</v>
      </c>
      <c r="I96" s="979">
        <f>'8. T4 RAHOITUSSUUN. '!I58</f>
        <v>0</v>
      </c>
      <c r="J96" s="1133">
        <f>'8. T4 RAHOITUSSUUN. '!J58</f>
        <v>0</v>
      </c>
      <c r="K96" s="980">
        <f>'8. T4 RAHOITUSSUUN. '!K58</f>
        <v>0</v>
      </c>
      <c r="M96" s="581"/>
      <c r="N96" s="496"/>
      <c r="O96" s="496"/>
      <c r="P96" s="496"/>
      <c r="Q96" s="496"/>
      <c r="R96" s="496"/>
      <c r="S96" s="496"/>
      <c r="T96" s="496"/>
      <c r="U96" s="498"/>
    </row>
    <row r="97" spans="1:21" ht="6" customHeight="1" thickBot="1" x14ac:dyDescent="0.25">
      <c r="A97" s="6"/>
      <c r="B97" s="260"/>
      <c r="C97" s="261"/>
      <c r="D97" s="262"/>
      <c r="E97" s="263"/>
      <c r="F97" s="1006"/>
      <c r="G97" s="1006"/>
      <c r="H97" s="1006"/>
      <c r="I97" s="1006"/>
      <c r="J97" s="1006"/>
      <c r="K97" s="1006"/>
      <c r="L97" s="134"/>
      <c r="M97" s="134"/>
      <c r="N97" s="134"/>
      <c r="O97" s="134"/>
      <c r="P97" s="134"/>
      <c r="Q97" s="134"/>
      <c r="R97" s="134"/>
      <c r="S97" s="134"/>
      <c r="T97" s="134"/>
      <c r="U97" s="134"/>
    </row>
    <row r="98" spans="1:21" ht="13.5" thickBot="1" x14ac:dyDescent="0.25">
      <c r="B98" s="264"/>
      <c r="C98" s="1778" t="s">
        <v>455</v>
      </c>
      <c r="D98" s="1778"/>
      <c r="E98" s="1778"/>
      <c r="F98" s="1007">
        <f t="shared" ref="F98:K98" si="17">F56+F62+F66+F67+F75</f>
        <v>0</v>
      </c>
      <c r="G98" s="1007">
        <f t="shared" si="17"/>
        <v>0</v>
      </c>
      <c r="H98" s="1007">
        <f t="shared" si="17"/>
        <v>0</v>
      </c>
      <c r="I98" s="1007">
        <f t="shared" si="17"/>
        <v>0</v>
      </c>
      <c r="J98" s="1007">
        <f t="shared" si="17"/>
        <v>0</v>
      </c>
      <c r="K98" s="1008">
        <f t="shared" si="17"/>
        <v>0</v>
      </c>
      <c r="L98" s="134"/>
      <c r="M98" s="228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34"/>
      <c r="O98" s="134"/>
      <c r="P98" s="134"/>
      <c r="Q98" s="134"/>
      <c r="R98" s="134"/>
      <c r="S98" s="134"/>
      <c r="T98" s="134"/>
      <c r="U98" s="134"/>
    </row>
    <row r="99" spans="1:21" x14ac:dyDescent="0.2">
      <c r="B99" s="265"/>
      <c r="C99" s="266"/>
      <c r="D99" s="548"/>
      <c r="E99" s="267"/>
      <c r="F99" s="267"/>
      <c r="G99" s="268"/>
      <c r="H99" s="268"/>
      <c r="I99" s="268"/>
      <c r="J99" s="268"/>
      <c r="K99" s="268"/>
      <c r="L99" s="134"/>
      <c r="N99" s="134"/>
      <c r="O99" s="134"/>
      <c r="P99" s="134"/>
      <c r="Q99" s="134"/>
      <c r="R99" s="134"/>
      <c r="S99" s="134"/>
      <c r="T99" s="134"/>
      <c r="U99" s="134"/>
    </row>
    <row r="100" spans="1:21" x14ac:dyDescent="0.2">
      <c r="B100" s="269">
        <f>'1. T1 INVESTOINTISUUN.'!B64</f>
        <v>0</v>
      </c>
      <c r="C100" s="134"/>
      <c r="D100" s="134"/>
      <c r="E100" s="134"/>
      <c r="F100" s="134"/>
      <c r="G100" s="134"/>
      <c r="H100" s="134"/>
      <c r="I100" s="1789" t="str">
        <f>OHJE!I5</f>
        <v>Palvelun tarjoaa</v>
      </c>
      <c r="J100" s="1789"/>
      <c r="K100" s="1789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</row>
    <row r="101" spans="1:21" x14ac:dyDescent="0.2">
      <c r="B101" s="79" t="str">
        <f>'1. T1 INVESTOINTISUUN.'!B65</f>
        <v>YT22 Toimivan yrityksen tulossuunnitelma</v>
      </c>
      <c r="G101" s="1698" t="str">
        <f>OHJE!H7</f>
        <v>Business Kuopio</v>
      </c>
      <c r="H101" s="1698"/>
      <c r="I101" s="1698"/>
      <c r="J101" s="1698"/>
      <c r="K101" s="1698"/>
    </row>
    <row r="102" spans="1:21" x14ac:dyDescent="0.2">
      <c r="B102" s="1693"/>
      <c r="C102" s="1693"/>
      <c r="D102" s="1693"/>
      <c r="E102" s="1693"/>
      <c r="G102" s="572"/>
      <c r="H102" s="572"/>
      <c r="I102" s="572"/>
      <c r="J102" s="572"/>
      <c r="K102" s="572"/>
    </row>
    <row r="104" spans="1:21" x14ac:dyDescent="0.2">
      <c r="B104" s="424" t="s">
        <v>336</v>
      </c>
    </row>
    <row r="105" spans="1:21" x14ac:dyDescent="0.2">
      <c r="B105" s="54" t="s">
        <v>337</v>
      </c>
    </row>
    <row r="106" spans="1:21" x14ac:dyDescent="0.2">
      <c r="B106" s="54" t="s">
        <v>338</v>
      </c>
    </row>
  </sheetData>
  <sheetProtection algorithmName="SHA-512" hashValue="+6oAlpW3X5j1qE0X99sHUGPBIlg/Or4oQo1GUp4aXcicSxikxvbAC9Mkpg5dGfYBHhJK6QafrEis8z1/BVwtYg==" saltValue="Y9SoQfrdKnRREsdH2BI8mg==" spinCount="100000" sheet="1" objects="1" scenarios="1"/>
  <mergeCells count="54"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86:E86"/>
    <mergeCell ref="C82:E82"/>
    <mergeCell ref="C45:E45"/>
    <mergeCell ref="C78:E78"/>
    <mergeCell ref="C85:E85"/>
    <mergeCell ref="C61:E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H5" sqref="H5"/>
    </sheetView>
  </sheetViews>
  <sheetFormatPr defaultRowHeight="12.75" x14ac:dyDescent="0.2"/>
  <cols>
    <col min="2" max="2" width="26.7109375" customWidth="1"/>
  </cols>
  <sheetData>
    <row r="1" spans="2:8" x14ac:dyDescent="0.2">
      <c r="B1" s="286" t="s">
        <v>293</v>
      </c>
    </row>
    <row r="2" spans="2:8" ht="13.5" thickBot="1" x14ac:dyDescent="0.25">
      <c r="C2" s="285">
        <f>'8. T4 RAHOITUSSUUN. '!P11</f>
        <v>2021</v>
      </c>
      <c r="D2" s="285">
        <f>'8. T4 RAHOITUSSUUN. '!Q11</f>
        <v>2022</v>
      </c>
      <c r="E2" s="285">
        <f>'8. T4 RAHOITUSSUUN. '!R11</f>
        <v>2024</v>
      </c>
      <c r="F2" s="285">
        <f>'8. T4 RAHOITUSSUUN. '!S11</f>
        <v>2025</v>
      </c>
      <c r="G2" s="285">
        <f>'8. T4 RAHOITUSSUUN. '!T11</f>
        <v>2026</v>
      </c>
      <c r="H2" s="285">
        <f>'8. T4 RAHOITUSSUUN. '!U11</f>
        <v>2027</v>
      </c>
    </row>
    <row r="3" spans="2:8" x14ac:dyDescent="0.2">
      <c r="B3" s="534" t="s">
        <v>581</v>
      </c>
      <c r="C3" s="739">
        <f>'8. T4 RAHOITUSSUUN. '!P13/1000</f>
        <v>0</v>
      </c>
      <c r="D3" s="739">
        <f>'8. T4 RAHOITUSSUUN. '!Q13/1000</f>
        <v>0</v>
      </c>
      <c r="E3" s="739">
        <f>'8. T4 RAHOITUSSUUN. '!R13/1000</f>
        <v>0</v>
      </c>
      <c r="F3" s="739">
        <f>'8. T4 RAHOITUSSUUN. '!S13/1000</f>
        <v>0</v>
      </c>
      <c r="G3" s="739">
        <f>'8. T4 RAHOITUSSUUN. '!T13/1000</f>
        <v>0</v>
      </c>
      <c r="H3" s="739">
        <f>'8. T4 RAHOITUSSUUN. '!U13/1000</f>
        <v>0</v>
      </c>
    </row>
    <row r="4" spans="2:8" x14ac:dyDescent="0.2">
      <c r="B4" s="536" t="s">
        <v>582</v>
      </c>
      <c r="C4" s="739">
        <f>'3. T3 TASE '!F98/1000</f>
        <v>0</v>
      </c>
      <c r="D4" s="739">
        <f>'3. T3 TASE '!G98/1000</f>
        <v>0</v>
      </c>
      <c r="E4" s="739">
        <f>'3. T3 TASE '!H98/1000</f>
        <v>0</v>
      </c>
      <c r="F4" s="739">
        <f>'3. T3 TASE '!I98/1000</f>
        <v>0</v>
      </c>
      <c r="G4" s="739">
        <f>'3. T3 TASE '!J98/1000</f>
        <v>0</v>
      </c>
      <c r="H4" s="739">
        <f>'3. T3 TASE '!K98/1000</f>
        <v>0</v>
      </c>
    </row>
    <row r="5" spans="2:8" x14ac:dyDescent="0.2">
      <c r="B5" s="538" t="s">
        <v>583</v>
      </c>
      <c r="C5" s="739">
        <f>'8. T4 RAHOITUSSUUN. '!P16/1000</f>
        <v>0</v>
      </c>
      <c r="D5" s="739">
        <f>'8. T4 RAHOITUSSUUN. '!Q16/1000</f>
        <v>0</v>
      </c>
      <c r="E5" s="739">
        <f>'8. T4 RAHOITUSSUUN. '!R16/1000</f>
        <v>0</v>
      </c>
      <c r="F5" s="739">
        <f>'8. T4 RAHOITUSSUUN. '!S16/1000</f>
        <v>0</v>
      </c>
      <c r="G5" s="739">
        <f>'8. T4 RAHOITUSSUUN. '!T16/1000</f>
        <v>0</v>
      </c>
      <c r="H5" s="739">
        <f>'8. T4 RAHOITUSSUUN. '!U16/1000</f>
        <v>0</v>
      </c>
    </row>
    <row r="25" spans="2:8" x14ac:dyDescent="0.2">
      <c r="B25" s="173" t="s">
        <v>294</v>
      </c>
    </row>
    <row r="26" spans="2:8" x14ac:dyDescent="0.2">
      <c r="C26" s="21">
        <f t="shared" ref="C26:H26" si="0">C2</f>
        <v>2021</v>
      </c>
      <c r="D26" s="21">
        <f t="shared" si="0"/>
        <v>2022</v>
      </c>
      <c r="E26" s="21">
        <f t="shared" si="0"/>
        <v>2024</v>
      </c>
      <c r="F26" s="21">
        <f t="shared" si="0"/>
        <v>2025</v>
      </c>
      <c r="G26" s="21">
        <f t="shared" si="0"/>
        <v>2026</v>
      </c>
      <c r="H26" s="21">
        <f t="shared" si="0"/>
        <v>2027</v>
      </c>
    </row>
    <row r="27" spans="2:8" x14ac:dyDescent="0.2">
      <c r="B27" s="536" t="s">
        <v>637</v>
      </c>
      <c r="C27" s="1104">
        <f>'8. T4 RAHOITUSSUUN. '!P19*100</f>
        <v>0</v>
      </c>
      <c r="D27" s="1104">
        <f>'8. T4 RAHOITUSSUUN. '!Q19*100</f>
        <v>0</v>
      </c>
      <c r="E27" s="1104">
        <f>'8. T4 RAHOITUSSUUN. '!R19*100</f>
        <v>0</v>
      </c>
      <c r="F27" s="1104">
        <f>'8. T4 RAHOITUSSUUN. '!S19*100</f>
        <v>0</v>
      </c>
      <c r="G27" s="1104">
        <f>'8. T4 RAHOITUSSUUN. '!T19*100</f>
        <v>0</v>
      </c>
      <c r="H27" s="1104">
        <f>'8. T4 RAHOITUSSUUN. '!U19*100</f>
        <v>0</v>
      </c>
    </row>
    <row r="28" spans="2:8" x14ac:dyDescent="0.2">
      <c r="B28" s="536" t="s">
        <v>643</v>
      </c>
      <c r="C28" s="1104">
        <f>'8. T4 RAHOITUSSUUN. '!P21*100</f>
        <v>0</v>
      </c>
      <c r="D28" s="1104">
        <f>'8. T4 RAHOITUSSUUN. '!Q21*100</f>
        <v>0</v>
      </c>
      <c r="E28" s="1104">
        <f>'8. T4 RAHOITUSSUUN. '!R21*100</f>
        <v>0</v>
      </c>
      <c r="F28" s="1104">
        <f>'8. T4 RAHOITUSSUUN. '!S21*100</f>
        <v>0</v>
      </c>
      <c r="G28" s="1104">
        <f>'8. T4 RAHOITUSSUUN. '!T21*100</f>
        <v>0</v>
      </c>
      <c r="H28" s="1104">
        <f>'8. T4 RAHOITUSSUUN. '!U21*100</f>
        <v>0</v>
      </c>
    </row>
    <row r="29" spans="2:8" x14ac:dyDescent="0.2">
      <c r="B29" s="536" t="s">
        <v>639</v>
      </c>
      <c r="C29" s="1105">
        <f>'8. T4 RAHOITUSSUUN. '!P24*100</f>
        <v>0</v>
      </c>
      <c r="D29" s="1105">
        <f>'8. T4 RAHOITUSSUUN. '!Q24*100</f>
        <v>0</v>
      </c>
      <c r="E29" s="1105">
        <f>'8. T4 RAHOITUSSUUN. '!R24*100</f>
        <v>0</v>
      </c>
      <c r="F29" s="1105">
        <f>'8. T4 RAHOITUSSUUN. '!S24*100</f>
        <v>0</v>
      </c>
      <c r="G29" s="1105">
        <f>'8. T4 RAHOITUSSUUN. '!T24*100</f>
        <v>0</v>
      </c>
      <c r="H29" s="1105">
        <f>'8. T4 RAHOITUSSUUN. '!U24*100</f>
        <v>0</v>
      </c>
    </row>
    <row r="30" spans="2:8" x14ac:dyDescent="0.2">
      <c r="B30" s="538" t="s">
        <v>638</v>
      </c>
      <c r="C30" s="1105">
        <f>'8. T4 RAHOITUSSUUN. '!P25*100</f>
        <v>0</v>
      </c>
      <c r="D30" s="1105">
        <f>'8. T4 RAHOITUSSUUN. '!Q25*100</f>
        <v>0</v>
      </c>
      <c r="E30" s="1105">
        <f>'8. T4 RAHOITUSSUUN. '!R25*100</f>
        <v>0</v>
      </c>
      <c r="F30" s="1105">
        <f>'8. T4 RAHOITUSSUUN. '!S25*100</f>
        <v>0</v>
      </c>
      <c r="G30" s="1105">
        <f>'8. T4 RAHOITUSSUUN. '!T25*100</f>
        <v>0</v>
      </c>
      <c r="H30" s="1105">
        <f>'8. T4 RAHOITUSSUUN. '!U25*100</f>
        <v>0</v>
      </c>
    </row>
    <row r="31" spans="2:8" x14ac:dyDescent="0.2">
      <c r="B31" s="157"/>
      <c r="C31" s="808"/>
      <c r="D31" s="808"/>
      <c r="E31" s="808"/>
      <c r="F31" s="808"/>
      <c r="G31" s="808"/>
      <c r="H31" s="808"/>
    </row>
    <row r="50" spans="2:8" x14ac:dyDescent="0.2">
      <c r="B50" s="377" t="s">
        <v>320</v>
      </c>
    </row>
    <row r="51" spans="2:8" x14ac:dyDescent="0.2">
      <c r="C51" s="549">
        <f>'8. T4 RAHOITUSSUUN. '!P44</f>
        <v>2021</v>
      </c>
      <c r="D51" s="549">
        <f>'8. T4 RAHOITUSSUUN. '!Q44</f>
        <v>2022</v>
      </c>
      <c r="E51" s="549">
        <f>'8. T4 RAHOITUSSUUN. '!R44</f>
        <v>2024</v>
      </c>
      <c r="F51" s="549">
        <f>'8. T4 RAHOITUSSUUN. '!S44</f>
        <v>2025</v>
      </c>
      <c r="G51" s="549">
        <f>'8. T4 RAHOITUSSUUN. '!T44</f>
        <v>2026</v>
      </c>
      <c r="H51" s="549">
        <f>'8. T4 RAHOITUSSUUN. '!U44</f>
        <v>2027</v>
      </c>
    </row>
    <row r="52" spans="2:8" x14ac:dyDescent="0.2">
      <c r="B52" s="534" t="s">
        <v>584</v>
      </c>
      <c r="C52" s="739">
        <f>'8. T4 RAHOITUSSUUN. '!P45/1000</f>
        <v>0</v>
      </c>
      <c r="D52" s="739">
        <f>'8. T4 RAHOITUSSUUN. '!Q45/1000</f>
        <v>0</v>
      </c>
      <c r="E52" s="739">
        <f>'8. T4 RAHOITUSSUUN. '!R45/1000</f>
        <v>0</v>
      </c>
      <c r="F52" s="739">
        <f>'8. T4 RAHOITUSSUUN. '!S45/1000</f>
        <v>0</v>
      </c>
      <c r="G52" s="739">
        <f>'8. T4 RAHOITUSSUUN. '!T45/1000</f>
        <v>0</v>
      </c>
      <c r="H52" s="739">
        <f>'8. T4 RAHOITUSSUUN. '!U45/1000</f>
        <v>0</v>
      </c>
    </row>
    <row r="53" spans="2:8" x14ac:dyDescent="0.2">
      <c r="B53" s="536" t="s">
        <v>585</v>
      </c>
      <c r="C53" s="739">
        <f>'8. T4 RAHOITUSSUUN. '!P46/1000</f>
        <v>0</v>
      </c>
      <c r="D53" s="739">
        <f>'8. T4 RAHOITUSSUUN. '!Q46/1000</f>
        <v>0</v>
      </c>
      <c r="E53" s="739">
        <f>'8. T4 RAHOITUSSUUN. '!R46/1000</f>
        <v>0</v>
      </c>
      <c r="F53" s="739">
        <f>'8. T4 RAHOITUSSUUN. '!S46/1000</f>
        <v>0</v>
      </c>
      <c r="G53" s="739">
        <f>'8. T4 RAHOITUSSUUN. '!T46/1000</f>
        <v>0</v>
      </c>
      <c r="H53" s="739">
        <f>'8. T4 RAHOITUSSUUN. '!U46/1000</f>
        <v>0</v>
      </c>
    </row>
    <row r="54" spans="2:8" x14ac:dyDescent="0.2">
      <c r="B54" s="536" t="s">
        <v>586</v>
      </c>
      <c r="C54" s="740">
        <f>'8. T4 RAHOITUSSUUN. '!P49/1000</f>
        <v>0</v>
      </c>
      <c r="D54" s="740">
        <f>'8. T4 RAHOITUSSUUN. '!Q49/1000</f>
        <v>0</v>
      </c>
      <c r="E54" s="740">
        <f>'8. T4 RAHOITUSSUUN. '!R49/1000</f>
        <v>0</v>
      </c>
      <c r="F54" s="740">
        <f>'8. T4 RAHOITUSSUUN. '!S49/1000</f>
        <v>0</v>
      </c>
      <c r="G54" s="740">
        <f>'8. T4 RAHOITUSSUUN. '!T49/1000</f>
        <v>0</v>
      </c>
      <c r="H54" s="740">
        <f>'8. T4 RAHOITUSSUUN. '!U49/1000</f>
        <v>0</v>
      </c>
    </row>
  </sheetData>
  <sheetProtection algorithmName="SHA-512" hashValue="HpPHfiITZ5zEv8+Q1fnumWMK3LliJMX+B4Cs83h154/t/RjcEdPJaPSxo0JfKdGul67mLvv+u7dXmPfMPxE8GA==" saltValue="J6NY7Huiu5MaM9WH7jjY+A==" spinCount="100000" sheet="1" objects="1" scenarios="1" selectLockedCells="1" selectUnlockedCell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7"/>
  <sheetViews>
    <sheetView showGridLines="0" showZeros="0" defaultGridColor="0" colorId="55" zoomScale="115" zoomScaleNormal="115" workbookViewId="0">
      <selection activeCell="J7" sqref="J7"/>
    </sheetView>
  </sheetViews>
  <sheetFormatPr defaultRowHeight="12.75" x14ac:dyDescent="0.2"/>
  <cols>
    <col min="1" max="1" width="10.5703125" customWidth="1"/>
    <col min="2" max="2" width="26.7109375" customWidth="1"/>
    <col min="3" max="3" width="9.42578125" customWidth="1"/>
    <col min="4" max="4" width="6.140625" customWidth="1"/>
    <col min="5" max="5" width="6.42578125" customWidth="1"/>
    <col min="6" max="17" width="8.85546875" customWidth="1"/>
    <col min="18" max="18" width="6.28515625" customWidth="1"/>
  </cols>
  <sheetData>
    <row r="1" spans="1:17" ht="31.15" customHeight="1" x14ac:dyDescent="0.2">
      <c r="A1" s="416"/>
    </row>
    <row r="2" spans="1:17" ht="15" x14ac:dyDescent="0.2">
      <c r="A2" s="417"/>
      <c r="B2" s="1106" t="s">
        <v>451</v>
      </c>
      <c r="C2" s="1"/>
      <c r="D2" s="1"/>
      <c r="E2" s="6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2">
      <c r="A3" s="418"/>
      <c r="B3" s="1"/>
      <c r="C3" s="1"/>
      <c r="D3" s="1"/>
      <c r="E3" s="733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4" customFormat="1" ht="16.5" customHeight="1" x14ac:dyDescent="0.2">
      <c r="B4" s="47" t="s">
        <v>703</v>
      </c>
      <c r="C4" s="47"/>
      <c r="D4" s="47"/>
      <c r="E4" s="47"/>
      <c r="F4" s="47" t="s">
        <v>532</v>
      </c>
      <c r="G4" s="47"/>
      <c r="H4" s="47" t="s">
        <v>0</v>
      </c>
      <c r="J4" s="47" t="s">
        <v>530</v>
      </c>
      <c r="K4" s="47"/>
      <c r="L4" s="47" t="s">
        <v>0</v>
      </c>
      <c r="M4" s="47"/>
      <c r="N4" s="47"/>
      <c r="O4" s="47" t="s">
        <v>93</v>
      </c>
      <c r="P4" s="47"/>
      <c r="Q4" s="47"/>
    </row>
    <row r="5" spans="1:17" x14ac:dyDescent="0.2">
      <c r="B5" s="1773" t="str">
        <f>'2. &amp; 7. T2 TULOSSUUN. '!B5</f>
        <v xml:space="preserve"> </v>
      </c>
      <c r="C5" s="1773"/>
      <c r="D5" s="1773"/>
      <c r="E5" s="46"/>
      <c r="F5" s="587">
        <f>'1. T1 INVESTOINTISUUN.'!E7</f>
        <v>0</v>
      </c>
      <c r="G5" s="586"/>
      <c r="H5" s="586"/>
      <c r="J5" s="587">
        <f>'1. T1 INVESTOINTISUUN.'!B9</f>
        <v>0</v>
      </c>
      <c r="K5" s="586"/>
      <c r="L5" s="586"/>
      <c r="M5" s="586"/>
      <c r="N5" s="593"/>
      <c r="O5" s="1809">
        <f>'1. T1 INVESTOINTISUUN.'!E4</f>
        <v>0</v>
      </c>
      <c r="P5" s="1809"/>
      <c r="Q5" s="732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45" customHeight="1" thickBot="1" x14ac:dyDescent="0.25">
      <c r="B7" s="1831" t="s">
        <v>396</v>
      </c>
      <c r="C7" s="1810" t="s">
        <v>199</v>
      </c>
      <c r="D7" s="1810" t="s">
        <v>728</v>
      </c>
      <c r="E7" s="1813" t="s">
        <v>123</v>
      </c>
      <c r="F7" s="83" t="s">
        <v>721</v>
      </c>
      <c r="G7" s="1595"/>
      <c r="H7" s="1595"/>
      <c r="I7" s="1595"/>
      <c r="J7" s="1595"/>
      <c r="K7" s="1595"/>
      <c r="L7" s="1595"/>
      <c r="M7" s="1595"/>
      <c r="N7" s="1596"/>
      <c r="O7" s="1595"/>
      <c r="P7" s="1595"/>
      <c r="Q7" s="1597"/>
    </row>
    <row r="8" spans="1:17" ht="10.9" customHeight="1" x14ac:dyDescent="0.2">
      <c r="A8" s="55"/>
      <c r="B8" s="1832"/>
      <c r="C8" s="1811"/>
      <c r="D8" s="1811"/>
      <c r="E8" s="1814"/>
      <c r="F8" s="1823" t="s">
        <v>99</v>
      </c>
      <c r="G8" s="1824"/>
      <c r="H8" s="1825"/>
      <c r="I8" s="1823" t="s">
        <v>98</v>
      </c>
      <c r="J8" s="1824"/>
      <c r="K8" s="1825"/>
      <c r="L8" s="1823" t="s">
        <v>100</v>
      </c>
      <c r="M8" s="1824"/>
      <c r="N8" s="1825"/>
      <c r="O8" s="1823" t="s">
        <v>259</v>
      </c>
      <c r="P8" s="1824"/>
      <c r="Q8" s="1853"/>
    </row>
    <row r="9" spans="1:17" ht="10.9" customHeight="1" x14ac:dyDescent="0.2">
      <c r="B9" s="1832"/>
      <c r="C9" s="1811"/>
      <c r="D9" s="1811"/>
      <c r="E9" s="1814"/>
      <c r="F9" s="1821">
        <f>'2. &amp; 7. T2 TULOSSUUN. '!I8</f>
        <v>2024</v>
      </c>
      <c r="G9" s="1822"/>
      <c r="H9" s="1828"/>
      <c r="I9" s="1821">
        <f>'2. &amp; 7. T2 TULOSSUUN. '!K8</f>
        <v>2025</v>
      </c>
      <c r="J9" s="1822"/>
      <c r="K9" s="1828"/>
      <c r="L9" s="1821">
        <f>'2. &amp; 7. T2 TULOSSUUN. '!M8</f>
        <v>2026</v>
      </c>
      <c r="M9" s="1822"/>
      <c r="N9" s="1828"/>
      <c r="O9" s="1854">
        <f>'2. &amp; 7. T2 TULOSSUUN. '!O8</f>
        <v>2027</v>
      </c>
      <c r="P9" s="1822"/>
      <c r="Q9" s="1855"/>
    </row>
    <row r="10" spans="1:17" ht="12" customHeight="1" thickBot="1" x14ac:dyDescent="0.25">
      <c r="A10" s="55"/>
      <c r="B10" s="1598" t="s">
        <v>124</v>
      </c>
      <c r="C10" s="1812"/>
      <c r="D10" s="1812"/>
      <c r="E10" s="1815"/>
      <c r="F10" s="1826" t="s">
        <v>125</v>
      </c>
      <c r="G10" s="1827"/>
      <c r="H10" s="1098" t="s">
        <v>126</v>
      </c>
      <c r="I10" s="1826" t="s">
        <v>125</v>
      </c>
      <c r="J10" s="1827"/>
      <c r="K10" s="1098" t="s">
        <v>126</v>
      </c>
      <c r="L10" s="1826" t="s">
        <v>125</v>
      </c>
      <c r="M10" s="1827"/>
      <c r="N10" s="1098" t="s">
        <v>126</v>
      </c>
      <c r="O10" s="1826" t="s">
        <v>125</v>
      </c>
      <c r="P10" s="1827"/>
      <c r="Q10" s="1598" t="s">
        <v>126</v>
      </c>
    </row>
    <row r="11" spans="1:17" s="55" customFormat="1" ht="11.45" customHeight="1" x14ac:dyDescent="0.2">
      <c r="A11" s="2"/>
      <c r="B11" s="1599" t="s">
        <v>625</v>
      </c>
      <c r="C11" s="608">
        <v>0</v>
      </c>
      <c r="D11" s="448">
        <v>0</v>
      </c>
      <c r="E11" s="609">
        <v>0</v>
      </c>
      <c r="F11" s="1843">
        <v>0</v>
      </c>
      <c r="G11" s="1844"/>
      <c r="H11" s="603">
        <f t="shared" ref="H11:H17" si="0">IF(C11=0,0,($C11+F11/4)*$E11)</f>
        <v>0</v>
      </c>
      <c r="I11" s="1845">
        <f t="shared" ref="I11:I17" si="1">IF(D11=0,0,IF(D11&lt;2,C11,(C11)/(D11-1)))</f>
        <v>0</v>
      </c>
      <c r="J11" s="1846"/>
      <c r="K11" s="604">
        <f t="shared" ref="K11:K17" si="2">IF(I11=0,0,($C11-I11/4)*$E11)</f>
        <v>0</v>
      </c>
      <c r="L11" s="1845">
        <f t="shared" ref="L11:L17" si="3">IF(D11=0,0,IF($C11-$I11&gt;I11,I11,$C11-$I11))</f>
        <v>0</v>
      </c>
      <c r="M11" s="1846"/>
      <c r="N11" s="604">
        <f t="shared" ref="N11:N17" si="4">IF(L11=0,0,($C11-I11-L11/4)*$E11)</f>
        <v>0</v>
      </c>
      <c r="O11" s="1845">
        <f t="shared" ref="O11:O17" si="5">IF(D11=0,0,IF($C11-$I11-L11&gt;L11,L11,$C11-$I11-L11))</f>
        <v>0</v>
      </c>
      <c r="P11" s="1846"/>
      <c r="Q11" s="1600">
        <f t="shared" ref="Q11:Q17" si="6">IF(O11=0,0,($C11-I11-L11-O11/4)*$E11)</f>
        <v>0</v>
      </c>
    </row>
    <row r="12" spans="1:17" s="55" customFormat="1" ht="11.45" customHeight="1" x14ac:dyDescent="0.2">
      <c r="B12" s="1601">
        <v>0</v>
      </c>
      <c r="C12" s="610">
        <v>0</v>
      </c>
      <c r="D12" s="449">
        <v>0</v>
      </c>
      <c r="E12" s="611">
        <v>0</v>
      </c>
      <c r="F12" s="1835">
        <v>0</v>
      </c>
      <c r="G12" s="1836"/>
      <c r="H12" s="605">
        <f t="shared" si="0"/>
        <v>0</v>
      </c>
      <c r="I12" s="1829">
        <f t="shared" si="1"/>
        <v>0</v>
      </c>
      <c r="J12" s="1830"/>
      <c r="K12" s="605">
        <f t="shared" si="2"/>
        <v>0</v>
      </c>
      <c r="L12" s="1829">
        <f t="shared" si="3"/>
        <v>0</v>
      </c>
      <c r="M12" s="1830"/>
      <c r="N12" s="605">
        <f t="shared" si="4"/>
        <v>0</v>
      </c>
      <c r="O12" s="1829">
        <f t="shared" si="5"/>
        <v>0</v>
      </c>
      <c r="P12" s="1830"/>
      <c r="Q12" s="1223">
        <f t="shared" si="6"/>
        <v>0</v>
      </c>
    </row>
    <row r="13" spans="1:17" s="55" customFormat="1" ht="11.45" customHeight="1" x14ac:dyDescent="0.2">
      <c r="A13"/>
      <c r="B13" s="1601">
        <v>0</v>
      </c>
      <c r="C13" s="610">
        <v>0</v>
      </c>
      <c r="D13" s="449">
        <v>0</v>
      </c>
      <c r="E13" s="611">
        <v>0</v>
      </c>
      <c r="F13" s="1835">
        <v>0</v>
      </c>
      <c r="G13" s="1836"/>
      <c r="H13" s="605">
        <f t="shared" si="0"/>
        <v>0</v>
      </c>
      <c r="I13" s="1829">
        <f t="shared" si="1"/>
        <v>0</v>
      </c>
      <c r="J13" s="1830"/>
      <c r="K13" s="605">
        <f t="shared" si="2"/>
        <v>0</v>
      </c>
      <c r="L13" s="1829">
        <f t="shared" si="3"/>
        <v>0</v>
      </c>
      <c r="M13" s="1830"/>
      <c r="N13" s="605">
        <f t="shared" si="4"/>
        <v>0</v>
      </c>
      <c r="O13" s="1851">
        <f t="shared" si="5"/>
        <v>0</v>
      </c>
      <c r="P13" s="1852"/>
      <c r="Q13" s="1602">
        <f t="shared" si="6"/>
        <v>0</v>
      </c>
    </row>
    <row r="14" spans="1:17" s="55" customFormat="1" ht="11.45" customHeight="1" x14ac:dyDescent="0.2">
      <c r="B14" s="1601">
        <v>0</v>
      </c>
      <c r="C14" s="610">
        <v>0</v>
      </c>
      <c r="D14" s="449">
        <v>0</v>
      </c>
      <c r="E14" s="611">
        <v>0</v>
      </c>
      <c r="F14" s="1835">
        <v>0</v>
      </c>
      <c r="G14" s="1836"/>
      <c r="H14" s="605">
        <f t="shared" si="0"/>
        <v>0</v>
      </c>
      <c r="I14" s="1829">
        <f t="shared" si="1"/>
        <v>0</v>
      </c>
      <c r="J14" s="1830"/>
      <c r="K14" s="605">
        <f t="shared" si="2"/>
        <v>0</v>
      </c>
      <c r="L14" s="1829">
        <f t="shared" si="3"/>
        <v>0</v>
      </c>
      <c r="M14" s="1830"/>
      <c r="N14" s="605">
        <f t="shared" si="4"/>
        <v>0</v>
      </c>
      <c r="O14" s="1851">
        <f t="shared" si="5"/>
        <v>0</v>
      </c>
      <c r="P14" s="1852"/>
      <c r="Q14" s="1602">
        <f t="shared" si="6"/>
        <v>0</v>
      </c>
    </row>
    <row r="15" spans="1:17" s="55" customFormat="1" ht="11.45" customHeight="1" x14ac:dyDescent="0.2">
      <c r="A15"/>
      <c r="B15" s="1601">
        <v>0</v>
      </c>
      <c r="C15" s="610">
        <v>0</v>
      </c>
      <c r="D15" s="449">
        <v>0</v>
      </c>
      <c r="E15" s="611">
        <v>0</v>
      </c>
      <c r="F15" s="1835">
        <v>0</v>
      </c>
      <c r="G15" s="1836"/>
      <c r="H15" s="605">
        <f t="shared" si="0"/>
        <v>0</v>
      </c>
      <c r="I15" s="1829">
        <f t="shared" si="1"/>
        <v>0</v>
      </c>
      <c r="J15" s="1830"/>
      <c r="K15" s="605">
        <f t="shared" si="2"/>
        <v>0</v>
      </c>
      <c r="L15" s="1829">
        <f t="shared" si="3"/>
        <v>0</v>
      </c>
      <c r="M15" s="1830"/>
      <c r="N15" s="605">
        <f t="shared" si="4"/>
        <v>0</v>
      </c>
      <c r="O15" s="1829">
        <f t="shared" si="5"/>
        <v>0</v>
      </c>
      <c r="P15" s="1830"/>
      <c r="Q15" s="1223">
        <f t="shared" si="6"/>
        <v>0</v>
      </c>
    </row>
    <row r="16" spans="1:17" s="55" customFormat="1" ht="11.45" customHeight="1" x14ac:dyDescent="0.2">
      <c r="B16" s="1601">
        <v>0</v>
      </c>
      <c r="C16" s="610">
        <v>0</v>
      </c>
      <c r="D16" s="449">
        <v>0</v>
      </c>
      <c r="E16" s="611">
        <v>0</v>
      </c>
      <c r="F16" s="1835">
        <v>0</v>
      </c>
      <c r="G16" s="1836"/>
      <c r="H16" s="605">
        <f t="shared" si="0"/>
        <v>0</v>
      </c>
      <c r="I16" s="1829">
        <f t="shared" si="1"/>
        <v>0</v>
      </c>
      <c r="J16" s="1830"/>
      <c r="K16" s="605">
        <f t="shared" si="2"/>
        <v>0</v>
      </c>
      <c r="L16" s="1829">
        <f t="shared" si="3"/>
        <v>0</v>
      </c>
      <c r="M16" s="1830"/>
      <c r="N16" s="605">
        <f t="shared" si="4"/>
        <v>0</v>
      </c>
      <c r="O16" s="1829">
        <f t="shared" si="5"/>
        <v>0</v>
      </c>
      <c r="P16" s="1830"/>
      <c r="Q16" s="1223">
        <f t="shared" si="6"/>
        <v>0</v>
      </c>
    </row>
    <row r="17" spans="1:19" s="55" customFormat="1" ht="11.45" customHeight="1" thickBot="1" x14ac:dyDescent="0.25">
      <c r="A17" s="2"/>
      <c r="B17" s="1603" t="s">
        <v>626</v>
      </c>
      <c r="C17" s="612">
        <v>0</v>
      </c>
      <c r="D17" s="450">
        <v>0</v>
      </c>
      <c r="E17" s="613">
        <v>0</v>
      </c>
      <c r="F17" s="1841">
        <v>0</v>
      </c>
      <c r="G17" s="1842"/>
      <c r="H17" s="606">
        <f t="shared" si="0"/>
        <v>0</v>
      </c>
      <c r="I17" s="1847">
        <f t="shared" si="1"/>
        <v>0</v>
      </c>
      <c r="J17" s="1848"/>
      <c r="K17" s="606">
        <f t="shared" si="2"/>
        <v>0</v>
      </c>
      <c r="L17" s="1847">
        <f t="shared" si="3"/>
        <v>0</v>
      </c>
      <c r="M17" s="1848"/>
      <c r="N17" s="606">
        <f t="shared" si="4"/>
        <v>0</v>
      </c>
      <c r="O17" s="1847">
        <f t="shared" si="5"/>
        <v>0</v>
      </c>
      <c r="P17" s="1848"/>
      <c r="Q17" s="1604">
        <f t="shared" si="6"/>
        <v>0</v>
      </c>
      <c r="R17" s="569" t="str">
        <f>IF(C18='3. T3 TASE '!G68,"","TARKISTA, ETTÄ SOLU C18 = 'T3 TASE'!G68!")</f>
        <v/>
      </c>
    </row>
    <row r="18" spans="1:19" s="55" customFormat="1" ht="12.6" customHeight="1" thickTop="1" thickBot="1" x14ac:dyDescent="0.25">
      <c r="A18"/>
      <c r="B18" s="1605" t="s">
        <v>131</v>
      </c>
      <c r="C18" s="1549">
        <f>SUM(C11:C17)</f>
        <v>0</v>
      </c>
      <c r="D18" s="614"/>
      <c r="E18" s="615"/>
      <c r="F18" s="1837">
        <f>SUM(F11:F17)</f>
        <v>0</v>
      </c>
      <c r="G18" s="1838"/>
      <c r="H18" s="607">
        <f>SUM(H11:H17)</f>
        <v>0</v>
      </c>
      <c r="I18" s="1837">
        <f>SUM(I11:I17)</f>
        <v>0</v>
      </c>
      <c r="J18" s="1838"/>
      <c r="K18" s="607">
        <f>SUM(K11:K17)</f>
        <v>0</v>
      </c>
      <c r="L18" s="1837">
        <f>SUM(L11:L17)</f>
        <v>0</v>
      </c>
      <c r="M18" s="1838"/>
      <c r="N18" s="607">
        <f>SUM(N11:N17)</f>
        <v>0</v>
      </c>
      <c r="O18" s="1837">
        <f>SUM(O11:O17)</f>
        <v>0</v>
      </c>
      <c r="P18" s="1838"/>
      <c r="Q18" s="1549">
        <f>SUM(Q11:Q17)</f>
        <v>0</v>
      </c>
      <c r="R18" s="569" t="str">
        <f>IF(F18='3. T3 TASE '!G77,"","TARKISTA, ETTÄ SOLU F18 = 'T3 TASE'!G77!")</f>
        <v/>
      </c>
    </row>
    <row r="19" spans="1:19" s="55" customFormat="1" ht="12.6" customHeight="1" thickBot="1" x14ac:dyDescent="0.25">
      <c r="A19"/>
      <c r="B19" s="1606" t="s">
        <v>232</v>
      </c>
      <c r="C19" s="762">
        <f>'3. T3 TASE '!G73</f>
        <v>0</v>
      </c>
      <c r="D19" s="574">
        <v>0</v>
      </c>
      <c r="E19" s="737">
        <v>0</v>
      </c>
      <c r="F19" s="1839">
        <f>'3. T3 TASE '!G83</f>
        <v>0</v>
      </c>
      <c r="G19" s="1840"/>
      <c r="H19" s="677">
        <f>'AT2 Lainat,sotum., alv-osto'!O40</f>
        <v>0</v>
      </c>
      <c r="I19" s="1850">
        <f>'AT2 Lainat,sotum., alv-osto'!R40</f>
        <v>0</v>
      </c>
      <c r="J19" s="1840"/>
      <c r="K19" s="677">
        <f>'AT2 Lainat,sotum., alv-osto'!U40</f>
        <v>0</v>
      </c>
      <c r="L19" s="1850">
        <f>'AT2 Lainat,sotum., alv-osto'!X40</f>
        <v>0</v>
      </c>
      <c r="M19" s="1840"/>
      <c r="N19" s="677">
        <f>'AT2 Lainat,sotum., alv-osto'!AA40</f>
        <v>0</v>
      </c>
      <c r="O19" s="1850">
        <f>'AT2 Lainat,sotum., alv-osto'!AD40</f>
        <v>0</v>
      </c>
      <c r="P19" s="1840"/>
      <c r="Q19" s="762">
        <f>'AT2 Lainat,sotum., alv-osto'!AG40</f>
        <v>0</v>
      </c>
      <c r="R19" s="569" t="s">
        <v>0</v>
      </c>
    </row>
    <row r="20" spans="1:19" s="55" customFormat="1" ht="11.45" customHeight="1" x14ac:dyDescent="0.2">
      <c r="A20"/>
      <c r="B20" s="1330" t="s">
        <v>537</v>
      </c>
      <c r="C20" s="1816" t="s">
        <v>198</v>
      </c>
      <c r="D20" s="1833" t="s">
        <v>729</v>
      </c>
      <c r="E20" s="1834" t="s">
        <v>123</v>
      </c>
      <c r="F20" s="1819" t="str">
        <f>'1. T1 INVESTOINTISUUN.'!D15</f>
        <v>Ennuste 1</v>
      </c>
      <c r="G20" s="1820"/>
      <c r="H20" s="1820"/>
      <c r="I20" s="1819" t="str">
        <f>I8</f>
        <v>Ennuste 2</v>
      </c>
      <c r="J20" s="1820"/>
      <c r="K20" s="1820"/>
      <c r="L20" s="1819" t="str">
        <f>L8</f>
        <v>Ennuste 3</v>
      </c>
      <c r="M20" s="1820"/>
      <c r="N20" s="1849"/>
      <c r="O20" s="1820" t="s">
        <v>259</v>
      </c>
      <c r="P20" s="1820"/>
      <c r="Q20" s="1856"/>
    </row>
    <row r="21" spans="1:19" s="55" customFormat="1" ht="11.45" customHeight="1" x14ac:dyDescent="0.2">
      <c r="B21" s="1607" t="s">
        <v>538</v>
      </c>
      <c r="C21" s="1817"/>
      <c r="D21" s="1811"/>
      <c r="E21" s="1814"/>
      <c r="F21" s="1821">
        <f>F9</f>
        <v>2024</v>
      </c>
      <c r="G21" s="1822"/>
      <c r="H21" s="1822"/>
      <c r="I21" s="1821">
        <f>I9</f>
        <v>2025</v>
      </c>
      <c r="J21" s="1822"/>
      <c r="K21" s="1822"/>
      <c r="L21" s="1821">
        <f>L9</f>
        <v>2026</v>
      </c>
      <c r="M21" s="1822"/>
      <c r="N21" s="1828"/>
      <c r="O21" s="1822">
        <f>O9</f>
        <v>2027</v>
      </c>
      <c r="P21" s="1822"/>
      <c r="Q21" s="1855"/>
    </row>
    <row r="22" spans="1:19" s="55" customFormat="1" ht="11.45" customHeight="1" thickBot="1" x14ac:dyDescent="0.25">
      <c r="A22"/>
      <c r="B22" s="1598" t="s">
        <v>124</v>
      </c>
      <c r="C22" s="1818"/>
      <c r="D22" s="1812"/>
      <c r="E22" s="1815"/>
      <c r="F22" s="559" t="s">
        <v>129</v>
      </c>
      <c r="G22" s="1099" t="s">
        <v>125</v>
      </c>
      <c r="H22" s="1098" t="s">
        <v>126</v>
      </c>
      <c r="I22" s="559" t="s">
        <v>129</v>
      </c>
      <c r="J22" s="1099" t="s">
        <v>125</v>
      </c>
      <c r="K22" s="1098" t="s">
        <v>126</v>
      </c>
      <c r="L22" s="559" t="s">
        <v>129</v>
      </c>
      <c r="M22" s="1099" t="s">
        <v>125</v>
      </c>
      <c r="N22" s="1098" t="s">
        <v>126</v>
      </c>
      <c r="O22" s="559" t="s">
        <v>129</v>
      </c>
      <c r="P22" s="1099" t="s">
        <v>125</v>
      </c>
      <c r="Q22" s="1598" t="s">
        <v>126</v>
      </c>
    </row>
    <row r="23" spans="1:19" s="55" customFormat="1" ht="12.6" customHeight="1" x14ac:dyDescent="0.2">
      <c r="B23" s="1608" t="s">
        <v>467</v>
      </c>
      <c r="C23" s="1296"/>
      <c r="D23" s="1297"/>
      <c r="E23" s="1297"/>
      <c r="F23" s="1298"/>
      <c r="G23" s="1298"/>
      <c r="H23" s="1298"/>
      <c r="I23" s="1298"/>
      <c r="J23" s="1298"/>
      <c r="K23" s="1298"/>
      <c r="L23" s="1298"/>
      <c r="M23" s="1298"/>
      <c r="N23" s="1298"/>
      <c r="O23" s="1298"/>
      <c r="P23" s="1298"/>
      <c r="Q23" s="1609"/>
    </row>
    <row r="24" spans="1:19" s="55" customFormat="1" ht="11.45" customHeight="1" x14ac:dyDescent="0.2">
      <c r="B24" s="1599" t="s">
        <v>625</v>
      </c>
      <c r="C24" s="608">
        <v>0</v>
      </c>
      <c r="D24" s="451">
        <v>0</v>
      </c>
      <c r="E24" s="680">
        <v>0</v>
      </c>
      <c r="F24" s="616">
        <f>C24</f>
        <v>0</v>
      </c>
      <c r="G24" s="617">
        <v>0</v>
      </c>
      <c r="H24" s="618">
        <f>'AT2 Lainat,sotum., alv-osto'!O16</f>
        <v>0</v>
      </c>
      <c r="I24" s="619">
        <v>0</v>
      </c>
      <c r="J24" s="617">
        <f>G24</f>
        <v>0</v>
      </c>
      <c r="K24" s="618">
        <f>'AT2 Lainat,sotum., alv-osto'!U16</f>
        <v>0</v>
      </c>
      <c r="L24" s="619">
        <v>0</v>
      </c>
      <c r="M24" s="617">
        <f t="shared" ref="M24:M30" si="7">J24</f>
        <v>0</v>
      </c>
      <c r="N24" s="620">
        <f>'AT2 Lainat,sotum., alv-osto'!AA16</f>
        <v>0</v>
      </c>
      <c r="O24" s="619">
        <v>0</v>
      </c>
      <c r="P24" s="617">
        <f>M24</f>
        <v>0</v>
      </c>
      <c r="Q24" s="791">
        <f>'AT2 Lainat,sotum., alv-osto'!AG16</f>
        <v>0</v>
      </c>
      <c r="S24" s="101"/>
    </row>
    <row r="25" spans="1:19" s="55" customFormat="1" ht="11.45" customHeight="1" x14ac:dyDescent="0.2">
      <c r="A25" s="2"/>
      <c r="B25" s="1599">
        <v>0</v>
      </c>
      <c r="C25" s="608">
        <v>0</v>
      </c>
      <c r="D25" s="451">
        <v>0</v>
      </c>
      <c r="E25" s="680">
        <v>0</v>
      </c>
      <c r="F25" s="616">
        <f>C25</f>
        <v>0</v>
      </c>
      <c r="G25" s="617">
        <v>0</v>
      </c>
      <c r="H25" s="618">
        <f>'AT2 Lainat,sotum., alv-osto'!O17</f>
        <v>0</v>
      </c>
      <c r="I25" s="619"/>
      <c r="J25" s="617">
        <f>G25</f>
        <v>0</v>
      </c>
      <c r="K25" s="618">
        <f>'AT2 Lainat,sotum., alv-osto'!U17</f>
        <v>0</v>
      </c>
      <c r="L25" s="619"/>
      <c r="M25" s="617">
        <f t="shared" si="7"/>
        <v>0</v>
      </c>
      <c r="N25" s="620">
        <f>'AT2 Lainat,sotum., alv-osto'!AA17</f>
        <v>0</v>
      </c>
      <c r="O25" s="619"/>
      <c r="P25" s="617">
        <f>M25</f>
        <v>0</v>
      </c>
      <c r="Q25" s="791">
        <f>'AT2 Lainat,sotum., alv-osto'!AG17</f>
        <v>0</v>
      </c>
      <c r="S25" s="101"/>
    </row>
    <row r="26" spans="1:19" s="55" customFormat="1" ht="11.45" customHeight="1" thickBot="1" x14ac:dyDescent="0.25">
      <c r="B26" s="1610">
        <v>0</v>
      </c>
      <c r="C26" s="681">
        <v>0</v>
      </c>
      <c r="D26" s="571">
        <v>0</v>
      </c>
      <c r="E26" s="682">
        <v>0</v>
      </c>
      <c r="F26" s="621">
        <f>C26</f>
        <v>0</v>
      </c>
      <c r="G26" s="1611">
        <v>0</v>
      </c>
      <c r="H26" s="622">
        <f>'AT2 Lainat,sotum., alv-osto'!O18</f>
        <v>0</v>
      </c>
      <c r="I26" s="623"/>
      <c r="J26" s="1611">
        <f>G26</f>
        <v>0</v>
      </c>
      <c r="K26" s="622">
        <f>'AT2 Lainat,sotum., alv-osto'!U18</f>
        <v>0</v>
      </c>
      <c r="L26" s="623"/>
      <c r="M26" s="1611">
        <f t="shared" si="7"/>
        <v>0</v>
      </c>
      <c r="N26" s="604">
        <f>'AT2 Lainat,sotum., alv-osto'!AA18</f>
        <v>0</v>
      </c>
      <c r="O26" s="623"/>
      <c r="P26" s="1611">
        <f>M26</f>
        <v>0</v>
      </c>
      <c r="Q26" s="1612">
        <f>'AT2 Lainat,sotum., alv-osto'!AG18</f>
        <v>0</v>
      </c>
      <c r="S26" s="101"/>
    </row>
    <row r="27" spans="1:19" s="55" customFormat="1" ht="11.45" customHeight="1" x14ac:dyDescent="0.2">
      <c r="A27"/>
      <c r="B27" s="1613" t="s">
        <v>468</v>
      </c>
      <c r="C27" s="1299"/>
      <c r="D27" s="1300"/>
      <c r="E27" s="1301"/>
      <c r="F27" s="1299"/>
      <c r="G27" s="1299"/>
      <c r="H27" s="1302"/>
      <c r="I27" s="1302"/>
      <c r="J27" s="1299"/>
      <c r="K27" s="1302"/>
      <c r="L27" s="1302"/>
      <c r="M27" s="1299"/>
      <c r="N27" s="1302"/>
      <c r="O27" s="1302"/>
      <c r="P27" s="1299"/>
      <c r="Q27" s="1614"/>
      <c r="S27" s="101"/>
    </row>
    <row r="28" spans="1:19" s="55" customFormat="1" ht="11.45" customHeight="1" x14ac:dyDescent="0.2">
      <c r="B28" s="1615" t="s">
        <v>625</v>
      </c>
      <c r="C28" s="608">
        <v>0</v>
      </c>
      <c r="D28" s="451">
        <v>0</v>
      </c>
      <c r="E28" s="680">
        <v>0</v>
      </c>
      <c r="F28" s="619"/>
      <c r="G28" s="624"/>
      <c r="H28" s="618"/>
      <c r="I28" s="616">
        <f>C28</f>
        <v>0</v>
      </c>
      <c r="J28" s="617">
        <v>0</v>
      </c>
      <c r="K28" s="618">
        <f>'AT2 Lainat,sotum., alv-osto'!U19</f>
        <v>0</v>
      </c>
      <c r="L28" s="619"/>
      <c r="M28" s="617">
        <f t="shared" si="7"/>
        <v>0</v>
      </c>
      <c r="N28" s="620">
        <f>'AT2 Lainat,sotum., alv-osto'!AA19</f>
        <v>0</v>
      </c>
      <c r="O28" s="619"/>
      <c r="P28" s="617">
        <f t="shared" ref="P28:P34" si="8">M28</f>
        <v>0</v>
      </c>
      <c r="Q28" s="791">
        <f>'AT2 Lainat,sotum., alv-osto'!AG19</f>
        <v>0</v>
      </c>
      <c r="S28" s="101"/>
    </row>
    <row r="29" spans="1:19" s="55" customFormat="1" ht="11.45" customHeight="1" x14ac:dyDescent="0.2">
      <c r="A29"/>
      <c r="B29" s="1615">
        <v>0</v>
      </c>
      <c r="C29" s="608">
        <v>0</v>
      </c>
      <c r="D29" s="451">
        <v>0</v>
      </c>
      <c r="E29" s="680">
        <v>0</v>
      </c>
      <c r="F29" s="619"/>
      <c r="G29" s="624"/>
      <c r="H29" s="618"/>
      <c r="I29" s="616">
        <f>C29</f>
        <v>0</v>
      </c>
      <c r="J29" s="617">
        <v>0</v>
      </c>
      <c r="K29" s="618">
        <f>'AT2 Lainat,sotum., alv-osto'!U20</f>
        <v>0</v>
      </c>
      <c r="L29" s="619"/>
      <c r="M29" s="617">
        <f t="shared" si="7"/>
        <v>0</v>
      </c>
      <c r="N29" s="620">
        <f>'AT2 Lainat,sotum., alv-osto'!AA20</f>
        <v>0</v>
      </c>
      <c r="O29" s="619"/>
      <c r="P29" s="617">
        <f t="shared" si="8"/>
        <v>0</v>
      </c>
      <c r="Q29" s="791">
        <f>'AT2 Lainat,sotum., alv-osto'!AG20</f>
        <v>0</v>
      </c>
      <c r="S29" s="101"/>
    </row>
    <row r="30" spans="1:19" s="55" customFormat="1" ht="11.45" customHeight="1" thickBot="1" x14ac:dyDescent="0.25">
      <c r="B30" s="1616">
        <v>0</v>
      </c>
      <c r="C30" s="681">
        <v>0</v>
      </c>
      <c r="D30" s="571">
        <v>0</v>
      </c>
      <c r="E30" s="682">
        <v>0</v>
      </c>
      <c r="F30" s="623"/>
      <c r="G30" s="1617"/>
      <c r="H30" s="622"/>
      <c r="I30" s="621">
        <f>C30</f>
        <v>0</v>
      </c>
      <c r="J30" s="1611">
        <v>0</v>
      </c>
      <c r="K30" s="622">
        <f>'AT2 Lainat,sotum., alv-osto'!U21</f>
        <v>0</v>
      </c>
      <c r="L30" s="623"/>
      <c r="M30" s="1611">
        <f t="shared" si="7"/>
        <v>0</v>
      </c>
      <c r="N30" s="604">
        <f>'AT2 Lainat,sotum., alv-osto'!AA21</f>
        <v>0</v>
      </c>
      <c r="O30" s="623"/>
      <c r="P30" s="1611">
        <f t="shared" si="8"/>
        <v>0</v>
      </c>
      <c r="Q30" s="1612">
        <f>'AT2 Lainat,sotum., alv-osto'!AG21</f>
        <v>0</v>
      </c>
      <c r="S30" s="101"/>
    </row>
    <row r="31" spans="1:19" s="55" customFormat="1" ht="11.45" customHeight="1" x14ac:dyDescent="0.2">
      <c r="A31" s="2"/>
      <c r="B31" s="1618" t="s">
        <v>677</v>
      </c>
      <c r="C31" s="1299"/>
      <c r="D31" s="1300"/>
      <c r="E31" s="1301"/>
      <c r="F31" s="1302"/>
      <c r="G31" s="1302"/>
      <c r="H31" s="1302"/>
      <c r="I31" s="1299"/>
      <c r="J31" s="1299"/>
      <c r="K31" s="1302"/>
      <c r="L31" s="1302"/>
      <c r="M31" s="1299"/>
      <c r="N31" s="1302"/>
      <c r="O31" s="1302"/>
      <c r="P31" s="1299"/>
      <c r="Q31" s="1614"/>
      <c r="S31" s="101"/>
    </row>
    <row r="32" spans="1:19" s="55" customFormat="1" ht="11.45" customHeight="1" x14ac:dyDescent="0.2">
      <c r="B32" s="1615" t="s">
        <v>625</v>
      </c>
      <c r="C32" s="608">
        <v>0</v>
      </c>
      <c r="D32" s="451">
        <v>0</v>
      </c>
      <c r="E32" s="680">
        <v>0</v>
      </c>
      <c r="F32" s="619"/>
      <c r="G32" s="624"/>
      <c r="H32" s="618"/>
      <c r="I32" s="619"/>
      <c r="J32" s="624"/>
      <c r="K32" s="618"/>
      <c r="L32" s="616">
        <f>C32</f>
        <v>0</v>
      </c>
      <c r="M32" s="617">
        <v>0</v>
      </c>
      <c r="N32" s="620">
        <f>'AT2 Lainat,sotum., alv-osto'!AA22</f>
        <v>0</v>
      </c>
      <c r="O32" s="619"/>
      <c r="P32" s="617">
        <f t="shared" si="8"/>
        <v>0</v>
      </c>
      <c r="Q32" s="791">
        <f>'AT2 Lainat,sotum., alv-osto'!AG22</f>
        <v>0</v>
      </c>
      <c r="S32" s="101"/>
    </row>
    <row r="33" spans="1:19" s="55" customFormat="1" ht="11.45" customHeight="1" x14ac:dyDescent="0.2">
      <c r="A33"/>
      <c r="B33" s="1599">
        <v>0</v>
      </c>
      <c r="C33" s="608">
        <v>0</v>
      </c>
      <c r="D33" s="451">
        <v>0</v>
      </c>
      <c r="E33" s="680">
        <v>0</v>
      </c>
      <c r="F33" s="619"/>
      <c r="G33" s="624"/>
      <c r="H33" s="618"/>
      <c r="I33" s="619"/>
      <c r="J33" s="624"/>
      <c r="K33" s="618"/>
      <c r="L33" s="616">
        <f>C33</f>
        <v>0</v>
      </c>
      <c r="M33" s="617">
        <v>0</v>
      </c>
      <c r="N33" s="620">
        <f>'AT2 Lainat,sotum., alv-osto'!AA23</f>
        <v>0</v>
      </c>
      <c r="O33" s="619"/>
      <c r="P33" s="617">
        <f t="shared" si="8"/>
        <v>0</v>
      </c>
      <c r="Q33" s="791">
        <f>'AT2 Lainat,sotum., alv-osto'!AG23</f>
        <v>0</v>
      </c>
      <c r="S33" s="101"/>
    </row>
    <row r="34" spans="1:19" s="55" customFormat="1" ht="11.45" customHeight="1" thickBot="1" x14ac:dyDescent="0.25">
      <c r="B34" s="1619">
        <v>0</v>
      </c>
      <c r="C34" s="683"/>
      <c r="D34" s="575">
        <v>0</v>
      </c>
      <c r="E34" s="684">
        <v>0</v>
      </c>
      <c r="F34" s="625">
        <v>0</v>
      </c>
      <c r="G34" s="626"/>
      <c r="H34" s="627"/>
      <c r="I34" s="625"/>
      <c r="J34" s="628"/>
      <c r="K34" s="629"/>
      <c r="L34" s="630">
        <f>C34</f>
        <v>0</v>
      </c>
      <c r="M34" s="631">
        <v>0</v>
      </c>
      <c r="N34" s="632">
        <f>'AT2 Lainat,sotum., alv-osto'!AA24</f>
        <v>0</v>
      </c>
      <c r="O34" s="625">
        <v>0</v>
      </c>
      <c r="P34" s="631">
        <f t="shared" si="8"/>
        <v>0</v>
      </c>
      <c r="Q34" s="796">
        <f>'AT2 Lainat,sotum., alv-osto'!AG24</f>
        <v>0</v>
      </c>
      <c r="S34" s="101"/>
    </row>
    <row r="35" spans="1:19" s="55" customFormat="1" ht="11.45" customHeight="1" x14ac:dyDescent="0.2">
      <c r="A35"/>
      <c r="B35" s="1620" t="s">
        <v>678</v>
      </c>
      <c r="C35" s="1303"/>
      <c r="D35" s="1304"/>
      <c r="E35" s="1305"/>
      <c r="F35" s="1306"/>
      <c r="G35" s="1307"/>
      <c r="H35" s="1308"/>
      <c r="I35" s="1306"/>
      <c r="J35" s="1309"/>
      <c r="K35" s="1310"/>
      <c r="L35" s="1311"/>
      <c r="M35" s="1312"/>
      <c r="N35" s="1313"/>
      <c r="O35" s="1306"/>
      <c r="P35" s="1312"/>
      <c r="Q35" s="1621"/>
      <c r="S35" s="101"/>
    </row>
    <row r="36" spans="1:19" s="55" customFormat="1" ht="11.45" customHeight="1" x14ac:dyDescent="0.2">
      <c r="B36" s="1615" t="s">
        <v>625</v>
      </c>
      <c r="C36" s="610">
        <v>0</v>
      </c>
      <c r="D36" s="452">
        <v>0</v>
      </c>
      <c r="E36" s="685">
        <v>0</v>
      </c>
      <c r="F36" s="619">
        <v>0</v>
      </c>
      <c r="G36" s="634"/>
      <c r="H36" s="635"/>
      <c r="I36" s="619">
        <v>0</v>
      </c>
      <c r="J36" s="634">
        <v>0</v>
      </c>
      <c r="K36" s="618"/>
      <c r="L36" s="619">
        <v>0</v>
      </c>
      <c r="M36" s="624"/>
      <c r="N36" s="620">
        <v>0</v>
      </c>
      <c r="O36" s="636">
        <f>C36</f>
        <v>0</v>
      </c>
      <c r="P36" s="617">
        <v>0</v>
      </c>
      <c r="Q36" s="791">
        <f>'AT2 Lainat,sotum., alv-osto'!AG25</f>
        <v>0</v>
      </c>
      <c r="S36" s="101"/>
    </row>
    <row r="37" spans="1:19" s="55" customFormat="1" ht="11.45" customHeight="1" x14ac:dyDescent="0.2">
      <c r="A37" s="2"/>
      <c r="B37" s="1615">
        <v>0</v>
      </c>
      <c r="C37" s="608">
        <v>0</v>
      </c>
      <c r="D37" s="451">
        <v>0</v>
      </c>
      <c r="E37" s="680">
        <v>0</v>
      </c>
      <c r="F37" s="623"/>
      <c r="G37" s="1622"/>
      <c r="H37" s="637"/>
      <c r="I37" s="623"/>
      <c r="J37" s="1622"/>
      <c r="K37" s="622"/>
      <c r="L37" s="623"/>
      <c r="M37" s="1617"/>
      <c r="N37" s="604"/>
      <c r="O37" s="636">
        <f>C37</f>
        <v>0</v>
      </c>
      <c r="P37" s="617">
        <v>0</v>
      </c>
      <c r="Q37" s="791">
        <f>'AT2 Lainat,sotum., alv-osto'!AG26</f>
        <v>0</v>
      </c>
      <c r="S37" s="101"/>
    </row>
    <row r="38" spans="1:19" s="55" customFormat="1" ht="11.45" customHeight="1" thickBot="1" x14ac:dyDescent="0.25">
      <c r="B38" s="1623">
        <v>0</v>
      </c>
      <c r="C38" s="612">
        <v>0</v>
      </c>
      <c r="D38" s="453">
        <v>0</v>
      </c>
      <c r="E38" s="686">
        <v>0</v>
      </c>
      <c r="F38" s="640">
        <v>0</v>
      </c>
      <c r="G38" s="641"/>
      <c r="H38" s="642"/>
      <c r="I38" s="640">
        <v>0</v>
      </c>
      <c r="J38" s="641"/>
      <c r="K38" s="643"/>
      <c r="L38" s="640">
        <v>0</v>
      </c>
      <c r="M38" s="641"/>
      <c r="N38" s="606"/>
      <c r="O38" s="644">
        <f>C38</f>
        <v>0</v>
      </c>
      <c r="P38" s="612">
        <v>0</v>
      </c>
      <c r="Q38" s="1604">
        <f>'AT2 Lainat,sotum., alv-osto'!AG27</f>
        <v>0</v>
      </c>
      <c r="S38" s="101"/>
    </row>
    <row r="39" spans="1:19" s="55" customFormat="1" ht="11.45" customHeight="1" thickTop="1" thickBot="1" x14ac:dyDescent="0.25">
      <c r="A39"/>
      <c r="B39" s="1624" t="s">
        <v>536</v>
      </c>
      <c r="C39" s="646">
        <f>SUM(C24:C38)</f>
        <v>0</v>
      </c>
      <c r="D39" s="576"/>
      <c r="E39" s="1174">
        <v>0</v>
      </c>
      <c r="F39" s="645">
        <f t="shared" ref="F39:N39" si="9">SUM(F24:F38)</f>
        <v>0</v>
      </c>
      <c r="G39" s="646">
        <f t="shared" si="9"/>
        <v>0</v>
      </c>
      <c r="H39" s="648">
        <f t="shared" si="9"/>
        <v>0</v>
      </c>
      <c r="I39" s="645">
        <f t="shared" si="9"/>
        <v>0</v>
      </c>
      <c r="J39" s="648">
        <f t="shared" si="9"/>
        <v>0</v>
      </c>
      <c r="K39" s="647">
        <f>SUM(K24:K38)</f>
        <v>0</v>
      </c>
      <c r="L39" s="645">
        <f t="shared" si="9"/>
        <v>0</v>
      </c>
      <c r="M39" s="646">
        <f t="shared" si="9"/>
        <v>0</v>
      </c>
      <c r="N39" s="647">
        <f t="shared" si="9"/>
        <v>0</v>
      </c>
      <c r="O39" s="649">
        <f>SUM(O24:O38)</f>
        <v>0</v>
      </c>
      <c r="P39" s="646">
        <f>SUM(P24:P38)</f>
        <v>0</v>
      </c>
      <c r="Q39" s="646">
        <f>SUM(Q24:Q38)</f>
        <v>0</v>
      </c>
    </row>
    <row r="40" spans="1:19" s="55" customFormat="1" ht="10.9" customHeight="1" thickBot="1" x14ac:dyDescent="0.25">
      <c r="B40" s="1625" t="s">
        <v>591</v>
      </c>
      <c r="C40" s="1314"/>
      <c r="D40" s="1315"/>
      <c r="E40" s="1316"/>
      <c r="F40" s="1317" t="s">
        <v>129</v>
      </c>
      <c r="G40" s="1318" t="s">
        <v>125</v>
      </c>
      <c r="H40" s="1319" t="s">
        <v>126</v>
      </c>
      <c r="I40" s="1317" t="s">
        <v>129</v>
      </c>
      <c r="J40" s="1318" t="s">
        <v>125</v>
      </c>
      <c r="K40" s="1319" t="s">
        <v>126</v>
      </c>
      <c r="L40" s="1317" t="s">
        <v>129</v>
      </c>
      <c r="M40" s="1318" t="s">
        <v>125</v>
      </c>
      <c r="N40" s="1319" t="s">
        <v>126</v>
      </c>
      <c r="O40" s="1317" t="s">
        <v>129</v>
      </c>
      <c r="P40" s="1318" t="s">
        <v>125</v>
      </c>
      <c r="Q40" s="1626" t="s">
        <v>126</v>
      </c>
    </row>
    <row r="41" spans="1:19" s="55" customFormat="1" ht="11.45" customHeight="1" x14ac:dyDescent="0.2">
      <c r="A41"/>
      <c r="B41" s="1599" t="s">
        <v>674</v>
      </c>
      <c r="C41" s="608">
        <v>0</v>
      </c>
      <c r="D41" s="451">
        <v>0</v>
      </c>
      <c r="E41" s="680">
        <v>0</v>
      </c>
      <c r="F41" s="616">
        <f>C41</f>
        <v>0</v>
      </c>
      <c r="G41" s="650">
        <f>'AT2 Lainat,sotum., alv-osto'!L44</f>
        <v>0</v>
      </c>
      <c r="H41" s="618">
        <f>'AT2 Lainat,sotum., alv-osto'!O44</f>
        <v>0</v>
      </c>
      <c r="I41" s="651"/>
      <c r="J41" s="650">
        <f>'AT2 Lainat,sotum., alv-osto'!R44</f>
        <v>0</v>
      </c>
      <c r="K41" s="652">
        <f>'AT2 Lainat,sotum., alv-osto'!U44</f>
        <v>0</v>
      </c>
      <c r="L41" s="653"/>
      <c r="M41" s="650">
        <f>'AT2 Lainat,sotum., alv-osto'!X44</f>
        <v>0</v>
      </c>
      <c r="N41" s="620">
        <f>'AT2 Lainat,sotum., alv-osto'!AA44</f>
        <v>0</v>
      </c>
      <c r="O41" s="654"/>
      <c r="P41" s="650">
        <f>'AT2 Lainat,sotum., alv-osto'!AD44</f>
        <v>0</v>
      </c>
      <c r="Q41" s="791">
        <f>'AT2 Lainat,sotum., alv-osto'!AG44</f>
        <v>0</v>
      </c>
      <c r="S41" s="101"/>
    </row>
    <row r="42" spans="1:19" s="55" customFormat="1" ht="11.45" customHeight="1" x14ac:dyDescent="0.2">
      <c r="B42" s="1601" t="s">
        <v>673</v>
      </c>
      <c r="C42" s="610"/>
      <c r="D42" s="452"/>
      <c r="E42" s="685">
        <v>0</v>
      </c>
      <c r="F42" s="655"/>
      <c r="G42" s="656"/>
      <c r="H42" s="657"/>
      <c r="I42" s="616">
        <f>C42</f>
        <v>0</v>
      </c>
      <c r="J42" s="650">
        <f>'AT2 Lainat,sotum., alv-osto'!R47</f>
        <v>0</v>
      </c>
      <c r="K42" s="620">
        <f>'AT2 Lainat,sotum., alv-osto'!U47</f>
        <v>0</v>
      </c>
      <c r="L42" s="653">
        <v>0</v>
      </c>
      <c r="M42" s="650">
        <f>'AT2 Lainat,sotum., alv-osto'!X47</f>
        <v>0</v>
      </c>
      <c r="N42" s="620">
        <f>'AT2 Lainat,sotum., alv-osto'!AA47</f>
        <v>0</v>
      </c>
      <c r="O42" s="654">
        <v>0</v>
      </c>
      <c r="P42" s="650">
        <f>IF(I42=0,0,'AT2 Lainat,sotum., alv-osto'!AD47)</f>
        <v>0</v>
      </c>
      <c r="Q42" s="791">
        <f>'AT2 Lainat,sotum., alv-osto'!AG47</f>
        <v>0</v>
      </c>
      <c r="S42" s="101"/>
    </row>
    <row r="43" spans="1:19" s="55" customFormat="1" ht="11.45" customHeight="1" x14ac:dyDescent="0.2">
      <c r="A43" s="2"/>
      <c r="B43" s="1601" t="s">
        <v>672</v>
      </c>
      <c r="C43" s="610">
        <v>0</v>
      </c>
      <c r="D43" s="452">
        <v>0</v>
      </c>
      <c r="E43" s="685">
        <v>0</v>
      </c>
      <c r="F43" s="633"/>
      <c r="G43" s="658"/>
      <c r="H43" s="659"/>
      <c r="I43" s="633"/>
      <c r="J43" s="660"/>
      <c r="K43" s="661"/>
      <c r="L43" s="1550">
        <f>C43</f>
        <v>0</v>
      </c>
      <c r="M43" s="662">
        <f>'AT2 Lainat,sotum., alv-osto'!X50</f>
        <v>0</v>
      </c>
      <c r="N43" s="605">
        <f>'AT2 Lainat,sotum., alv-osto'!AA50</f>
        <v>0</v>
      </c>
      <c r="O43" s="663">
        <v>0</v>
      </c>
      <c r="P43" s="650">
        <f>IF(L43=0,0,'AT2 Lainat,sotum., alv-osto'!AD50)</f>
        <v>0</v>
      </c>
      <c r="Q43" s="791">
        <f>'AT2 Lainat,sotum., alv-osto'!AG50</f>
        <v>0</v>
      </c>
      <c r="S43" s="101"/>
    </row>
    <row r="44" spans="1:19" s="55" customFormat="1" ht="11.45" customHeight="1" thickBot="1" x14ac:dyDescent="0.25">
      <c r="B44" s="1603" t="s">
        <v>647</v>
      </c>
      <c r="C44" s="612">
        <v>0</v>
      </c>
      <c r="D44" s="453">
        <v>0</v>
      </c>
      <c r="E44" s="1023">
        <v>0</v>
      </c>
      <c r="F44" s="664"/>
      <c r="G44" s="639"/>
      <c r="H44" s="665"/>
      <c r="I44" s="638"/>
      <c r="J44" s="666"/>
      <c r="K44" s="667"/>
      <c r="L44" s="668"/>
      <c r="M44" s="669"/>
      <c r="N44" s="606"/>
      <c r="O44" s="644">
        <f>C44</f>
        <v>0</v>
      </c>
      <c r="P44" s="669">
        <f>IF(O44=0,0,'AT2 Lainat,sotum., alv-osto'!AD53)</f>
        <v>0</v>
      </c>
      <c r="Q44" s="1604">
        <f>'AT2 Lainat,sotum., alv-osto'!AG53</f>
        <v>0</v>
      </c>
      <c r="S44" s="101"/>
    </row>
    <row r="45" spans="1:19" s="55" customFormat="1" ht="11.45" customHeight="1" thickTop="1" thickBot="1" x14ac:dyDescent="0.25">
      <c r="A45"/>
      <c r="B45" s="1627" t="s">
        <v>679</v>
      </c>
      <c r="C45" s="672">
        <f>SUM(C41:C44)</f>
        <v>0</v>
      </c>
      <c r="D45" s="454"/>
      <c r="E45" s="1175"/>
      <c r="F45" s="670">
        <f t="shared" ref="F45:Q45" si="10">SUM(F41:F44)</f>
        <v>0</v>
      </c>
      <c r="G45" s="672">
        <f t="shared" si="10"/>
        <v>0</v>
      </c>
      <c r="H45" s="671">
        <f t="shared" si="10"/>
        <v>0</v>
      </c>
      <c r="I45" s="670">
        <f t="shared" si="10"/>
        <v>0</v>
      </c>
      <c r="J45" s="672">
        <f t="shared" si="10"/>
        <v>0</v>
      </c>
      <c r="K45" s="671">
        <f t="shared" si="10"/>
        <v>0</v>
      </c>
      <c r="L45" s="670">
        <f t="shared" si="10"/>
        <v>0</v>
      </c>
      <c r="M45" s="672">
        <f t="shared" si="10"/>
        <v>0</v>
      </c>
      <c r="N45" s="671">
        <f t="shared" si="10"/>
        <v>0</v>
      </c>
      <c r="O45" s="670">
        <f t="shared" si="10"/>
        <v>0</v>
      </c>
      <c r="P45" s="673">
        <f t="shared" si="10"/>
        <v>0</v>
      </c>
      <c r="Q45" s="673">
        <f t="shared" si="10"/>
        <v>0</v>
      </c>
    </row>
    <row r="46" spans="1:19" s="78" customFormat="1" ht="12.6" customHeight="1" thickBot="1" x14ac:dyDescent="0.25">
      <c r="A46"/>
      <c r="B46" s="1628" t="s">
        <v>680</v>
      </c>
      <c r="C46" s="678">
        <f>'3. T3 TASE '!$H$78</f>
        <v>0</v>
      </c>
      <c r="D46" s="455"/>
      <c r="E46" s="1176">
        <v>7.0000000000000007E-2</v>
      </c>
      <c r="F46" s="674"/>
      <c r="G46" s="675"/>
      <c r="H46" s="676">
        <v>0</v>
      </c>
      <c r="I46" s="674"/>
      <c r="J46" s="675"/>
      <c r="K46" s="676">
        <v>0</v>
      </c>
      <c r="L46" s="674"/>
      <c r="M46" s="675"/>
      <c r="N46" s="676">
        <v>0</v>
      </c>
      <c r="O46" s="674"/>
      <c r="P46" s="675"/>
      <c r="Q46" s="678">
        <v>0</v>
      </c>
    </row>
    <row r="47" spans="1:19" s="78" customFormat="1" ht="21.6" customHeight="1" thickBot="1" x14ac:dyDescent="0.25">
      <c r="A47" s="55"/>
      <c r="B47" s="1629" t="s">
        <v>681</v>
      </c>
      <c r="C47" s="1107">
        <f>'3. T3 TASE '!G74</f>
        <v>0</v>
      </c>
      <c r="D47" s="455"/>
      <c r="E47" s="1176">
        <v>7.0000000000000007E-2</v>
      </c>
      <c r="F47" s="674"/>
      <c r="G47" s="675"/>
      <c r="H47" s="676">
        <v>0</v>
      </c>
      <c r="I47" s="674"/>
      <c r="J47" s="675"/>
      <c r="K47" s="676">
        <f>H47</f>
        <v>0</v>
      </c>
      <c r="L47" s="674"/>
      <c r="M47" s="675"/>
      <c r="N47" s="676">
        <f>K47</f>
        <v>0</v>
      </c>
      <c r="O47" s="674"/>
      <c r="P47" s="675"/>
      <c r="Q47" s="678">
        <f>N47</f>
        <v>0</v>
      </c>
    </row>
    <row r="48" spans="1:19" s="78" customFormat="1" ht="12.6" customHeight="1" thickBot="1" x14ac:dyDescent="0.25">
      <c r="A48" s="2"/>
      <c r="B48" s="1630" t="s">
        <v>682</v>
      </c>
      <c r="C48" s="456"/>
      <c r="D48" s="728"/>
      <c r="E48" s="729"/>
      <c r="F48" s="1068"/>
      <c r="G48" s="1069"/>
      <c r="H48" s="1070">
        <v>0</v>
      </c>
      <c r="I48" s="1068"/>
      <c r="J48" s="1069"/>
      <c r="K48" s="1070">
        <v>0</v>
      </c>
      <c r="L48" s="1068"/>
      <c r="M48" s="1069"/>
      <c r="N48" s="1070">
        <v>0</v>
      </c>
      <c r="O48" s="1068"/>
      <c r="P48" s="1069"/>
      <c r="Q48" s="1631">
        <v>0</v>
      </c>
    </row>
    <row r="49" spans="2:17" s="55" customFormat="1" ht="12.6" customHeight="1" thickTop="1" thickBot="1" x14ac:dyDescent="0.25">
      <c r="B49" s="1632" t="s">
        <v>683</v>
      </c>
      <c r="C49" s="1071">
        <f>C39+C18+C45+C46+C19+C47</f>
        <v>0</v>
      </c>
      <c r="D49" s="1072"/>
      <c r="E49" s="1177"/>
      <c r="F49" s="1071">
        <f>F39+F45</f>
        <v>0</v>
      </c>
      <c r="G49" s="1071">
        <f>G39+F18+G45+F19</f>
        <v>0</v>
      </c>
      <c r="H49" s="1071">
        <f>H39+H18+H45+H46+H48+H19+H47</f>
        <v>0</v>
      </c>
      <c r="I49" s="1071">
        <f>I39+I45</f>
        <v>0</v>
      </c>
      <c r="J49" s="1071">
        <f>J39+I18+J45+I19</f>
        <v>0</v>
      </c>
      <c r="K49" s="1071">
        <f>K39+K18+K45+K46+K48+K19+K47</f>
        <v>0</v>
      </c>
      <c r="L49" s="1071">
        <f>L39+L45</f>
        <v>0</v>
      </c>
      <c r="M49" s="1071">
        <f>M39+L18+M45+L19</f>
        <v>0</v>
      </c>
      <c r="N49" s="1071">
        <f>N39+N18+N45+N46+N48+N19+N47</f>
        <v>0</v>
      </c>
      <c r="O49" s="1071">
        <f>O39+O45</f>
        <v>0</v>
      </c>
      <c r="P49" s="1071">
        <f>P39+O18+P45+O19</f>
        <v>0</v>
      </c>
      <c r="Q49" s="1071">
        <f>Q39+Q18+Q45+Q46+Q48+Q19+Q47</f>
        <v>0</v>
      </c>
    </row>
    <row r="50" spans="2:17" ht="7.5" customHeight="1" thickTop="1" x14ac:dyDescent="0.2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</row>
    <row r="51" spans="2:17" x14ac:dyDescent="0.2">
      <c r="C51" s="54"/>
      <c r="D51" s="54"/>
      <c r="E51" s="457"/>
      <c r="F51" s="457"/>
      <c r="G51" s="457"/>
      <c r="H51" s="457"/>
      <c r="I51" s="457"/>
      <c r="J51" s="457"/>
      <c r="K51" s="54"/>
      <c r="L51" s="54"/>
      <c r="M51" s="54"/>
      <c r="N51" s="1666" t="str">
        <f>OHJE!I5</f>
        <v>Palvelun tarjoaa</v>
      </c>
      <c r="O51" s="1666"/>
      <c r="P51" s="1666"/>
      <c r="Q51" s="1666"/>
    </row>
    <row r="52" spans="2:17" ht="12.75" customHeight="1" x14ac:dyDescent="0.2">
      <c r="B52" s="79" t="str">
        <f>OHJE!G24</f>
        <v>YT22 Toimivan yrityksen tulossuunnitelma</v>
      </c>
      <c r="C52" s="79"/>
      <c r="D52" s="79"/>
      <c r="E52" s="79"/>
      <c r="F52" s="92"/>
      <c r="G52" s="92"/>
      <c r="H52" s="54"/>
      <c r="I52" s="92"/>
      <c r="J52" s="1698" t="str">
        <f>OHJE!H7</f>
        <v>Business Kuopio</v>
      </c>
      <c r="K52" s="1698"/>
      <c r="L52" s="1698"/>
      <c r="M52" s="1698"/>
      <c r="N52" s="1698"/>
      <c r="O52" s="1698"/>
      <c r="P52" s="1698"/>
      <c r="Q52" s="1698"/>
    </row>
    <row r="53" spans="2:17" x14ac:dyDescent="0.2">
      <c r="L53" s="572"/>
      <c r="M53" s="572"/>
      <c r="N53" s="572"/>
      <c r="O53" s="572"/>
      <c r="P53" s="572"/>
      <c r="Q53" s="572"/>
    </row>
    <row r="55" spans="2:17" x14ac:dyDescent="0.2">
      <c r="B55" s="424" t="s">
        <v>336</v>
      </c>
    </row>
    <row r="56" spans="2:17" x14ac:dyDescent="0.2">
      <c r="B56" s="54" t="s">
        <v>337</v>
      </c>
    </row>
    <row r="57" spans="2:17" x14ac:dyDescent="0.2">
      <c r="B57" s="54" t="s">
        <v>338</v>
      </c>
    </row>
  </sheetData>
  <sheetProtection algorithmName="SHA-512" hashValue="5QyTFxQBGyNUTjl3R6tnjmNki89DkC+84BrT1G0LcEFK+2RwpaY48UQvY8TN8+O6p/ByHv1q7sJc4wrW8rVzqA==" saltValue="P/twvvbBTHYLLhlQUAMzxQ==" spinCount="100000" sheet="1" objects="1" scenarios="1"/>
  <mergeCells count="67"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  <mergeCell ref="O13:P13"/>
    <mergeCell ref="O14:P14"/>
    <mergeCell ref="O15:P15"/>
    <mergeCell ref="O16:P16"/>
    <mergeCell ref="L21:N21"/>
    <mergeCell ref="L15:M15"/>
    <mergeCell ref="I17:J17"/>
    <mergeCell ref="L20:N20"/>
    <mergeCell ref="I18:J18"/>
    <mergeCell ref="I19:J19"/>
    <mergeCell ref="L19:M19"/>
    <mergeCell ref="L18:M18"/>
    <mergeCell ref="L17:M17"/>
    <mergeCell ref="I12:J12"/>
    <mergeCell ref="I16:J16"/>
    <mergeCell ref="I15:J15"/>
    <mergeCell ref="I11:J11"/>
    <mergeCell ref="L11:M11"/>
    <mergeCell ref="L16:M16"/>
    <mergeCell ref="I14:J14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166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J130" sqref="J130"/>
    </sheetView>
  </sheetViews>
  <sheetFormatPr defaultRowHeight="12.75" x14ac:dyDescent="0.2"/>
  <cols>
    <col min="1" max="1" width="12" customWidth="1"/>
    <col min="2" max="2" width="2.85546875" customWidth="1"/>
    <col min="3" max="3" width="37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25" t="s">
        <v>105</v>
      </c>
      <c r="E2" s="1861"/>
      <c r="F2" s="1861"/>
      <c r="H2" s="25">
        <f>'3. T3 TASE '!D12</f>
        <v>0</v>
      </c>
      <c r="O2" s="25" t="s">
        <v>105</v>
      </c>
      <c r="P2" s="1"/>
    </row>
    <row r="3" spans="1:28" ht="14.25" customHeight="1" x14ac:dyDescent="0.2">
      <c r="E3" s="1870"/>
      <c r="F3" s="1870"/>
      <c r="O3" s="1869"/>
      <c r="P3" s="1869"/>
      <c r="Q3" s="1869"/>
    </row>
    <row r="4" spans="1:28" ht="20.25" customHeight="1" x14ac:dyDescent="0.2">
      <c r="B4" s="50" t="s">
        <v>703</v>
      </c>
      <c r="C4" s="47"/>
      <c r="D4" s="47"/>
      <c r="E4" s="47" t="s">
        <v>530</v>
      </c>
      <c r="F4" s="60"/>
      <c r="G4" s="67"/>
      <c r="H4" s="42"/>
      <c r="I4" s="60" t="s">
        <v>0</v>
      </c>
      <c r="J4" s="60"/>
      <c r="K4" s="1868" t="s">
        <v>93</v>
      </c>
      <c r="L4" s="1868"/>
      <c r="M4" s="48"/>
      <c r="N4" s="19"/>
      <c r="O4" s="414"/>
      <c r="S4" s="415"/>
      <c r="T4" s="146"/>
      <c r="U4" s="146"/>
      <c r="V4" s="146"/>
      <c r="W4" s="146"/>
      <c r="X4" s="146"/>
    </row>
    <row r="5" spans="1:28" ht="12.75" customHeight="1" x14ac:dyDescent="0.25">
      <c r="B5" s="587" t="str">
        <f>'2. &amp; 7. T2 TULOSSUUN. '!B5:D5</f>
        <v xml:space="preserve"> </v>
      </c>
      <c r="C5" s="587"/>
      <c r="D5" s="590"/>
      <c r="E5" s="1773">
        <f>'2. &amp; 7. T2 TULOSSUUN. '!G5</f>
        <v>0</v>
      </c>
      <c r="F5" s="1773"/>
      <c r="G5" s="1773"/>
      <c r="H5" s="1773"/>
      <c r="I5" s="1773"/>
      <c r="J5" s="594">
        <f>'2. &amp; 7. T2 TULOSSUUN. '!K5</f>
        <v>0</v>
      </c>
      <c r="K5" s="1809">
        <f>'1. T1 INVESTOINTISUUN.'!E4</f>
        <v>0</v>
      </c>
      <c r="L5" s="1773"/>
      <c r="M5" s="78"/>
      <c r="N5" s="78"/>
      <c r="O5" s="415"/>
      <c r="P5" s="25"/>
      <c r="S5" s="146"/>
      <c r="T5" s="146"/>
      <c r="U5" s="146"/>
      <c r="V5" s="146"/>
      <c r="W5" s="146"/>
      <c r="X5" s="146"/>
      <c r="Z5" s="8"/>
      <c r="AA5" s="8"/>
    </row>
    <row r="6" spans="1:28" ht="10.5" customHeight="1" thickBot="1" x14ac:dyDescent="0.25">
      <c r="D6" s="288"/>
      <c r="E6" s="288"/>
      <c r="F6" s="18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5">
      <c r="B7" s="1875" t="s">
        <v>450</v>
      </c>
      <c r="C7" s="1876"/>
      <c r="D7" s="1866" t="str">
        <f>'8. T4 RAHOITUSSUUN. '!G10</f>
        <v>Tot. tilikausi</v>
      </c>
      <c r="E7" s="1867"/>
      <c r="F7" s="1866" t="str">
        <f>'1. T1 INVESTOINTISUUN.'!D15</f>
        <v>Ennuste 1</v>
      </c>
      <c r="G7" s="1867"/>
      <c r="H7" s="1866" t="s">
        <v>98</v>
      </c>
      <c r="I7" s="1867"/>
      <c r="J7" s="1866" t="s">
        <v>100</v>
      </c>
      <c r="K7" s="1867"/>
      <c r="L7" s="1866" t="s">
        <v>259</v>
      </c>
      <c r="M7" s="1867"/>
      <c r="N7" s="26"/>
      <c r="O7" s="293" t="s">
        <v>414</v>
      </c>
      <c r="P7" s="294"/>
      <c r="Q7" s="294"/>
      <c r="R7" s="295"/>
      <c r="S7" s="490"/>
      <c r="T7" s="490"/>
      <c r="U7" s="490"/>
      <c r="V7" s="490"/>
      <c r="W7" s="490"/>
      <c r="X7" s="490"/>
      <c r="Y7" s="491"/>
      <c r="Z7" s="492"/>
      <c r="AA7" s="492"/>
      <c r="AB7" s="493"/>
    </row>
    <row r="8" spans="1:28" ht="18.600000000000001" customHeight="1" x14ac:dyDescent="0.2">
      <c r="B8" s="1857" t="s">
        <v>645</v>
      </c>
      <c r="C8" s="1858"/>
      <c r="D8" s="1864">
        <f>'2. &amp; 7. T2 TULOSSUUN. '!G8</f>
        <v>2022</v>
      </c>
      <c r="E8" s="1865"/>
      <c r="F8" s="1864">
        <f>'2. &amp; 7. T2 TULOSSUUN. '!I8</f>
        <v>2024</v>
      </c>
      <c r="G8" s="1865"/>
      <c r="H8" s="1864">
        <f>'2. &amp; 7. T2 TULOSSUUN. '!K8</f>
        <v>2025</v>
      </c>
      <c r="I8" s="1865"/>
      <c r="J8" s="1864">
        <f>'2. &amp; 7. T2 TULOSSUUN. '!M8</f>
        <v>2026</v>
      </c>
      <c r="K8" s="1865"/>
      <c r="L8" s="1864">
        <f>'1. T1 INVESTOINTISUUN.'!G16</f>
        <v>2027</v>
      </c>
      <c r="M8" s="1865"/>
      <c r="N8" s="27"/>
      <c r="O8" s="562"/>
      <c r="P8" s="563"/>
      <c r="Q8" s="563"/>
      <c r="R8" s="563"/>
      <c r="S8" s="174"/>
      <c r="T8" s="174"/>
      <c r="U8" s="174"/>
      <c r="V8" s="174"/>
      <c r="W8" s="174"/>
      <c r="X8" s="174"/>
      <c r="Y8" s="174"/>
      <c r="Z8" s="564"/>
      <c r="AA8" s="564"/>
      <c r="AB8" s="352"/>
    </row>
    <row r="9" spans="1:28" ht="18.600000000000001" customHeight="1" x14ac:dyDescent="0.2">
      <c r="B9" s="1859"/>
      <c r="C9" s="1860"/>
      <c r="D9" s="1320" t="s">
        <v>17</v>
      </c>
      <c r="E9" s="1321" t="s">
        <v>14</v>
      </c>
      <c r="F9" s="1320" t="s">
        <v>17</v>
      </c>
      <c r="G9" s="1321" t="s">
        <v>14</v>
      </c>
      <c r="H9" s="1320" t="str">
        <f>F9</f>
        <v>Euroa</v>
      </c>
      <c r="I9" s="1321" t="s">
        <v>14</v>
      </c>
      <c r="J9" s="1320" t="str">
        <f>H9</f>
        <v>Euroa</v>
      </c>
      <c r="K9" s="1321" t="s">
        <v>14</v>
      </c>
      <c r="L9" s="1320" t="str">
        <f>J9</f>
        <v>Euroa</v>
      </c>
      <c r="M9" s="1321" t="s">
        <v>14</v>
      </c>
      <c r="N9" s="27"/>
      <c r="O9" s="562"/>
      <c r="P9" s="563"/>
      <c r="Q9" s="563"/>
      <c r="R9" s="563"/>
      <c r="S9" s="174"/>
      <c r="T9" s="174"/>
      <c r="U9" s="174"/>
      <c r="V9" s="174"/>
      <c r="W9" s="174"/>
      <c r="X9" s="174"/>
      <c r="Y9" s="174"/>
      <c r="Z9" s="564"/>
      <c r="AA9" s="564"/>
      <c r="AB9" s="352"/>
    </row>
    <row r="10" spans="1:28" ht="13.15" customHeight="1" thickBot="1" x14ac:dyDescent="0.25">
      <c r="B10" s="1322"/>
      <c r="C10" s="1323" t="s">
        <v>398</v>
      </c>
      <c r="D10" s="1862" t="str">
        <f>'2. &amp; 7. T2 TULOSSUUN. '!G10</f>
        <v>12</v>
      </c>
      <c r="E10" s="1863"/>
      <c r="F10" s="1862">
        <f>'2. &amp; 7. T2 TULOSSUUN. '!I10</f>
        <v>12</v>
      </c>
      <c r="G10" s="1863"/>
      <c r="H10" s="1862" t="str">
        <f>'2. &amp; 7. T2 TULOSSUUN. '!K10</f>
        <v>12</v>
      </c>
      <c r="I10" s="1863"/>
      <c r="J10" s="1862" t="str">
        <f>'2. &amp; 7. T2 TULOSSUUN. '!M10</f>
        <v>12</v>
      </c>
      <c r="K10" s="1863"/>
      <c r="L10" s="1862" t="str">
        <f>'2. &amp; 7. T2 TULOSSUUN. '!O10</f>
        <v>12</v>
      </c>
      <c r="M10" s="1863"/>
      <c r="N10" s="27"/>
      <c r="O10" s="562"/>
      <c r="P10" s="563"/>
      <c r="Q10" s="563"/>
      <c r="R10" s="563"/>
      <c r="S10" s="174"/>
      <c r="T10" s="174"/>
      <c r="U10" s="174"/>
      <c r="V10" s="174"/>
      <c r="W10" s="174"/>
      <c r="X10" s="174"/>
      <c r="Y10" s="174"/>
      <c r="Z10" s="564"/>
      <c r="AA10" s="564"/>
      <c r="AB10" s="352"/>
    </row>
    <row r="11" spans="1:28" s="1" customFormat="1" ht="13.9" customHeight="1" x14ac:dyDescent="0.2">
      <c r="A11"/>
      <c r="B11" s="1142" t="s">
        <v>2</v>
      </c>
      <c r="C11" s="1123" t="s">
        <v>20</v>
      </c>
      <c r="D11" s="241"/>
      <c r="E11" s="242"/>
      <c r="F11" s="920">
        <f>F12+F17+F24-F30</f>
        <v>0</v>
      </c>
      <c r="G11" s="921">
        <f>IF(F$44=0,0,F11/F$44*100)</f>
        <v>0</v>
      </c>
      <c r="H11" s="920">
        <f>H12+H17+H24-H30</f>
        <v>0</v>
      </c>
      <c r="I11" s="921">
        <f>IF(H$44=0,0,H11/H$44*100)</f>
        <v>0</v>
      </c>
      <c r="J11" s="920">
        <f>J12+J17+J24-J30</f>
        <v>0</v>
      </c>
      <c r="K11" s="921">
        <f>IF(J$44=0,0,J11/J$44*100)</f>
        <v>0</v>
      </c>
      <c r="L11" s="920">
        <f>L12+L17+L24-L30</f>
        <v>0</v>
      </c>
      <c r="M11" s="921">
        <f>IF(L$44=0,0,L11/L$44*100)</f>
        <v>0</v>
      </c>
      <c r="N11" s="3"/>
      <c r="O11" s="1872" t="s">
        <v>525</v>
      </c>
      <c r="P11" s="1873"/>
      <c r="Q11" s="1873"/>
      <c r="R11" s="1873"/>
      <c r="S11" s="331"/>
      <c r="T11" s="331"/>
      <c r="U11" s="331"/>
      <c r="V11" s="331"/>
      <c r="W11" s="331"/>
      <c r="X11" s="331"/>
      <c r="Y11" s="331"/>
      <c r="Z11" s="494"/>
      <c r="AA11" s="494"/>
      <c r="AB11" s="495"/>
    </row>
    <row r="12" spans="1:28" s="4" customFormat="1" ht="13.9" customHeight="1" x14ac:dyDescent="0.2">
      <c r="B12" s="447"/>
      <c r="C12" s="189" t="s">
        <v>62</v>
      </c>
      <c r="D12" s="243"/>
      <c r="E12" s="405"/>
      <c r="F12" s="922">
        <f>(F13*F15)</f>
        <v>0</v>
      </c>
      <c r="G12" s="923"/>
      <c r="H12" s="922">
        <f>(H13*H15)</f>
        <v>0</v>
      </c>
      <c r="I12" s="923"/>
      <c r="J12" s="922">
        <f>(J13*J15)</f>
        <v>0</v>
      </c>
      <c r="K12" s="923"/>
      <c r="L12" s="922">
        <f>(L13*L15)</f>
        <v>0</v>
      </c>
      <c r="M12" s="923"/>
      <c r="N12" s="32"/>
      <c r="O12" s="297">
        <f>F$8</f>
        <v>2024</v>
      </c>
      <c r="P12" s="297">
        <f>H$8</f>
        <v>2025</v>
      </c>
      <c r="Q12" s="297">
        <f>J8</f>
        <v>2026</v>
      </c>
      <c r="R12" s="297">
        <f>L$8</f>
        <v>2027</v>
      </c>
      <c r="S12" s="331">
        <v>0</v>
      </c>
      <c r="T12" s="331"/>
      <c r="U12" s="331"/>
      <c r="V12" s="331"/>
      <c r="W12" s="331"/>
      <c r="X12" s="331"/>
      <c r="Y12" s="331"/>
      <c r="Z12" s="494"/>
      <c r="AA12" s="494"/>
      <c r="AB12" s="495"/>
    </row>
    <row r="13" spans="1:28" s="54" customFormat="1" ht="13.9" customHeight="1" x14ac:dyDescent="0.2">
      <c r="B13" s="251"/>
      <c r="C13" s="1113" t="s">
        <v>60</v>
      </c>
      <c r="D13" s="243"/>
      <c r="E13" s="289"/>
      <c r="F13" s="636">
        <v>0</v>
      </c>
      <c r="G13" s="924"/>
      <c r="H13" s="636">
        <f>F13+F13*P13</f>
        <v>0</v>
      </c>
      <c r="I13" s="924"/>
      <c r="J13" s="636">
        <f>H13+H13*Q13</f>
        <v>0</v>
      </c>
      <c r="K13" s="924"/>
      <c r="L13" s="636">
        <f>J13+J13*R13</f>
        <v>0</v>
      </c>
      <c r="M13" s="924"/>
      <c r="N13" s="59"/>
      <c r="O13" s="357"/>
      <c r="P13" s="410">
        <v>0.03</v>
      </c>
      <c r="Q13" s="410">
        <f>P13</f>
        <v>0.03</v>
      </c>
      <c r="R13" s="410">
        <f>Q13</f>
        <v>0.03</v>
      </c>
      <c r="S13" s="331"/>
      <c r="T13" s="331"/>
      <c r="U13" s="331"/>
      <c r="V13" s="331"/>
      <c r="W13" s="331"/>
      <c r="X13" s="331"/>
      <c r="Y13" s="331"/>
      <c r="Z13" s="494"/>
      <c r="AA13" s="494"/>
      <c r="AB13" s="495"/>
    </row>
    <row r="14" spans="1:28" s="54" customFormat="1" ht="13.9" customHeight="1" x14ac:dyDescent="0.2">
      <c r="B14" s="251"/>
      <c r="C14" s="1113" t="s">
        <v>459</v>
      </c>
      <c r="D14" s="243"/>
      <c r="E14" s="289"/>
      <c r="F14" s="636">
        <v>0</v>
      </c>
      <c r="G14" s="924"/>
      <c r="H14" s="636">
        <f>F14+F14*P14</f>
        <v>0</v>
      </c>
      <c r="I14" s="924"/>
      <c r="J14" s="636">
        <f>H14+H14*Q14</f>
        <v>0</v>
      </c>
      <c r="K14" s="924"/>
      <c r="L14" s="636">
        <f>J14+J14*R14</f>
        <v>0</v>
      </c>
      <c r="M14" s="924"/>
      <c r="N14" s="59"/>
      <c r="O14" s="357"/>
      <c r="P14" s="410">
        <v>0.03</v>
      </c>
      <c r="Q14" s="410">
        <f>P14</f>
        <v>0.03</v>
      </c>
      <c r="R14" s="410">
        <f>Q14</f>
        <v>0.03</v>
      </c>
      <c r="S14" s="331"/>
      <c r="T14" s="331"/>
      <c r="U14" s="331"/>
      <c r="V14" s="331"/>
      <c r="W14" s="331"/>
      <c r="X14" s="331"/>
      <c r="Y14" s="331"/>
      <c r="Z14" s="494"/>
      <c r="AA14" s="494"/>
      <c r="AB14" s="495"/>
    </row>
    <row r="15" spans="1:28" s="54" customFormat="1" ht="13.9" customHeight="1" x14ac:dyDescent="0.2">
      <c r="B15" s="251"/>
      <c r="C15" s="1113" t="s">
        <v>61</v>
      </c>
      <c r="D15" s="243"/>
      <c r="E15" s="289"/>
      <c r="F15" s="925">
        <v>12.5</v>
      </c>
      <c r="G15" s="924"/>
      <c r="H15" s="925">
        <v>12.5</v>
      </c>
      <c r="I15" s="924"/>
      <c r="J15" s="925">
        <f>H15</f>
        <v>12.5</v>
      </c>
      <c r="K15" s="924"/>
      <c r="L15" s="925">
        <f>J15</f>
        <v>12.5</v>
      </c>
      <c r="M15" s="924"/>
      <c r="N15" s="59"/>
      <c r="O15" s="1145" t="s">
        <v>465</v>
      </c>
      <c r="P15" s="324"/>
      <c r="Q15" s="324"/>
      <c r="R15" s="324"/>
      <c r="S15" s="157"/>
      <c r="T15" s="157"/>
      <c r="U15" s="157"/>
      <c r="V15" s="157"/>
      <c r="W15" s="157"/>
      <c r="X15" s="157"/>
      <c r="Y15" s="157"/>
      <c r="Z15" s="546"/>
      <c r="AA15" s="546"/>
      <c r="AB15" s="547"/>
    </row>
    <row r="16" spans="1:28" s="54" customFormat="1" ht="13.9" customHeight="1" x14ac:dyDescent="0.2">
      <c r="B16" s="251"/>
      <c r="C16" s="1259" t="s">
        <v>650</v>
      </c>
      <c r="D16" s="243"/>
      <c r="E16" s="1143"/>
      <c r="F16" s="1144">
        <v>0.28999999999999998</v>
      </c>
      <c r="G16" s="924"/>
      <c r="H16" s="1144">
        <f>F16</f>
        <v>0.28999999999999998</v>
      </c>
      <c r="I16" s="924"/>
      <c r="J16" s="1144">
        <f>H16</f>
        <v>0.28999999999999998</v>
      </c>
      <c r="K16" s="924"/>
      <c r="L16" s="1144">
        <f>J16</f>
        <v>0.28999999999999998</v>
      </c>
      <c r="M16" s="924"/>
      <c r="N16" s="59"/>
      <c r="O16" s="1146"/>
      <c r="P16" s="331"/>
      <c r="Q16" s="331"/>
      <c r="R16" s="331"/>
      <c r="S16" s="331"/>
      <c r="T16" s="331"/>
      <c r="U16" s="331"/>
      <c r="V16" s="331"/>
      <c r="W16" s="331"/>
      <c r="X16" s="331"/>
      <c r="Y16" s="331"/>
      <c r="Z16" s="494"/>
      <c r="AA16" s="494"/>
      <c r="AB16" s="495"/>
    </row>
    <row r="17" spans="1:28" s="4" customFormat="1" ht="13.9" customHeight="1" x14ac:dyDescent="0.2">
      <c r="A17"/>
      <c r="B17" s="447"/>
      <c r="C17" s="1114" t="s">
        <v>328</v>
      </c>
      <c r="D17" s="243"/>
      <c r="E17" s="405"/>
      <c r="F17" s="926">
        <f>F18*F19*F20*F21</f>
        <v>0</v>
      </c>
      <c r="G17" s="923"/>
      <c r="H17" s="926">
        <f>H18*H19*H20*H21</f>
        <v>0</v>
      </c>
      <c r="I17" s="923"/>
      <c r="J17" s="926">
        <f>J18*J19*J20*J21</f>
        <v>0</v>
      </c>
      <c r="K17" s="923"/>
      <c r="L17" s="926">
        <f>L18*L19*L20*L21</f>
        <v>0</v>
      </c>
      <c r="M17" s="923"/>
      <c r="N17" s="32"/>
      <c r="O17" s="297">
        <f>F$8</f>
        <v>2024</v>
      </c>
      <c r="P17" s="297">
        <f>H$8</f>
        <v>2025</v>
      </c>
      <c r="Q17" s="297">
        <f>J$8</f>
        <v>2026</v>
      </c>
      <c r="R17" s="297">
        <f>L$8</f>
        <v>2027</v>
      </c>
      <c r="S17" s="331"/>
      <c r="T17" s="331"/>
      <c r="U17" s="331"/>
      <c r="V17" s="331"/>
      <c r="W17" s="331"/>
      <c r="X17" s="331"/>
      <c r="Y17" s="331"/>
      <c r="Z17" s="494"/>
      <c r="AA17" s="494"/>
      <c r="AB17" s="495"/>
    </row>
    <row r="18" spans="1:28" s="54" customFormat="1" ht="13.9" customHeight="1" x14ac:dyDescent="0.2">
      <c r="A18" s="55"/>
      <c r="B18" s="251"/>
      <c r="C18" s="1113" t="s">
        <v>723</v>
      </c>
      <c r="D18" s="245"/>
      <c r="E18" s="289"/>
      <c r="F18" s="927">
        <v>0</v>
      </c>
      <c r="G18" s="928"/>
      <c r="H18" s="927">
        <f>F18+F18*P18</f>
        <v>0</v>
      </c>
      <c r="I18" s="928"/>
      <c r="J18" s="927">
        <f>H18+H18*Q18</f>
        <v>0</v>
      </c>
      <c r="K18" s="928"/>
      <c r="L18" s="927">
        <f>J18+J18*R18</f>
        <v>0</v>
      </c>
      <c r="M18" s="924"/>
      <c r="N18" s="57"/>
      <c r="O18" s="357"/>
      <c r="P18" s="410">
        <v>0.03</v>
      </c>
      <c r="Q18" s="410">
        <f>P18</f>
        <v>0.03</v>
      </c>
      <c r="R18" s="410">
        <f>Q18</f>
        <v>0.03</v>
      </c>
      <c r="S18" s="331" t="s">
        <v>0</v>
      </c>
      <c r="T18" s="331"/>
      <c r="U18" s="331"/>
      <c r="V18" s="331"/>
      <c r="W18" s="331"/>
      <c r="X18" s="331"/>
      <c r="Y18" s="331"/>
      <c r="Z18" s="494"/>
      <c r="AA18" s="494"/>
      <c r="AB18" s="495"/>
    </row>
    <row r="19" spans="1:28" s="54" customFormat="1" ht="13.9" customHeight="1" x14ac:dyDescent="0.2">
      <c r="A19" s="2"/>
      <c r="B19" s="251"/>
      <c r="C19" s="1113" t="s">
        <v>341</v>
      </c>
      <c r="D19" s="245"/>
      <c r="E19" s="289"/>
      <c r="F19" s="636">
        <v>0</v>
      </c>
      <c r="G19" s="924"/>
      <c r="H19" s="636">
        <f>F19</f>
        <v>0</v>
      </c>
      <c r="I19" s="924"/>
      <c r="J19" s="636">
        <f>H19</f>
        <v>0</v>
      </c>
      <c r="K19" s="924"/>
      <c r="L19" s="636">
        <f>J19</f>
        <v>0</v>
      </c>
      <c r="M19" s="924"/>
      <c r="N19" s="57"/>
      <c r="O19" s="404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494"/>
      <c r="AA19" s="494"/>
      <c r="AB19" s="495"/>
    </row>
    <row r="20" spans="1:28" s="54" customFormat="1" ht="13.9" customHeight="1" x14ac:dyDescent="0.2">
      <c r="A20"/>
      <c r="B20" s="251"/>
      <c r="C20" s="1113" t="s">
        <v>303</v>
      </c>
      <c r="D20" s="243"/>
      <c r="E20" s="244"/>
      <c r="F20" s="925">
        <v>12.5</v>
      </c>
      <c r="G20" s="924"/>
      <c r="H20" s="925">
        <v>12.5</v>
      </c>
      <c r="I20" s="924"/>
      <c r="J20" s="925">
        <f>H20</f>
        <v>12.5</v>
      </c>
      <c r="K20" s="924"/>
      <c r="L20" s="925">
        <f>J20</f>
        <v>12.5</v>
      </c>
      <c r="M20" s="924"/>
      <c r="N20" s="57"/>
      <c r="O20" s="404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494"/>
      <c r="AA20" s="494"/>
      <c r="AB20" s="495"/>
    </row>
    <row r="21" spans="1:28" s="54" customFormat="1" ht="13.9" customHeight="1" x14ac:dyDescent="0.2">
      <c r="A21"/>
      <c r="B21" s="251"/>
      <c r="C21" s="1113" t="s">
        <v>61</v>
      </c>
      <c r="D21" s="243"/>
      <c r="E21" s="244"/>
      <c r="F21" s="925">
        <v>0</v>
      </c>
      <c r="G21" s="924"/>
      <c r="H21" s="925">
        <v>12.5</v>
      </c>
      <c r="I21" s="924"/>
      <c r="J21" s="925">
        <f>H21</f>
        <v>12.5</v>
      </c>
      <c r="K21" s="924"/>
      <c r="L21" s="925">
        <f>J21</f>
        <v>12.5</v>
      </c>
      <c r="M21" s="924"/>
      <c r="N21" s="57"/>
      <c r="O21" s="297">
        <f>F$8</f>
        <v>2024</v>
      </c>
      <c r="P21" s="297">
        <f>H$8</f>
        <v>2025</v>
      </c>
      <c r="Q21" s="297">
        <f>J$8</f>
        <v>2026</v>
      </c>
      <c r="R21" s="297">
        <f>L$8</f>
        <v>2027</v>
      </c>
      <c r="S21" s="1136" t="s">
        <v>465</v>
      </c>
      <c r="T21" s="157"/>
      <c r="U21" s="157"/>
      <c r="V21" s="157"/>
      <c r="W21" s="157"/>
      <c r="X21" s="157"/>
      <c r="Y21" s="157"/>
      <c r="Z21" s="546"/>
      <c r="AA21" s="546"/>
      <c r="AB21" s="547"/>
    </row>
    <row r="22" spans="1:28" s="54" customFormat="1" ht="13.9" customHeight="1" x14ac:dyDescent="0.2">
      <c r="A22"/>
      <c r="B22" s="251"/>
      <c r="C22" s="1113" t="s">
        <v>460</v>
      </c>
      <c r="D22" s="243"/>
      <c r="E22" s="244"/>
      <c r="F22" s="636">
        <v>0</v>
      </c>
      <c r="G22" s="924"/>
      <c r="H22" s="636">
        <f>F22+F22*P22</f>
        <v>0</v>
      </c>
      <c r="I22" s="924"/>
      <c r="J22" s="636">
        <f>H22+H22*Q22</f>
        <v>0</v>
      </c>
      <c r="K22" s="924"/>
      <c r="L22" s="636">
        <f>J22+J22*R22</f>
        <v>0</v>
      </c>
      <c r="M22" s="924"/>
      <c r="N22" s="57"/>
      <c r="O22" s="357"/>
      <c r="P22" s="410">
        <v>0.03</v>
      </c>
      <c r="Q22" s="410">
        <f>P22</f>
        <v>0.03</v>
      </c>
      <c r="R22" s="410">
        <f>Q22</f>
        <v>0.03</v>
      </c>
      <c r="S22" s="331"/>
      <c r="T22" s="331"/>
      <c r="U22" s="331"/>
      <c r="V22" s="331"/>
      <c r="W22" s="331"/>
      <c r="X22" s="331"/>
      <c r="Y22" s="331"/>
      <c r="Z22" s="494"/>
      <c r="AA22" s="494"/>
      <c r="AB22" s="495"/>
    </row>
    <row r="23" spans="1:28" s="54" customFormat="1" ht="13.9" customHeight="1" x14ac:dyDescent="0.2">
      <c r="A23"/>
      <c r="B23" s="251"/>
      <c r="C23" s="1259" t="s">
        <v>651</v>
      </c>
      <c r="D23" s="243"/>
      <c r="E23" s="1143"/>
      <c r="F23" s="1144">
        <v>0.25</v>
      </c>
      <c r="G23" s="924"/>
      <c r="H23" s="1144">
        <f>F23</f>
        <v>0.25</v>
      </c>
      <c r="I23" s="924"/>
      <c r="J23" s="1144">
        <f>H23</f>
        <v>0.25</v>
      </c>
      <c r="K23" s="924"/>
      <c r="L23" s="1144">
        <f>J23</f>
        <v>0.25</v>
      </c>
      <c r="M23" s="924"/>
      <c r="N23" s="57"/>
      <c r="O23" s="404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494"/>
      <c r="AA23" s="494"/>
      <c r="AB23" s="495"/>
    </row>
    <row r="24" spans="1:28" s="4" customFormat="1" ht="13.9" customHeight="1" x14ac:dyDescent="0.2">
      <c r="A24"/>
      <c r="B24" s="447"/>
      <c r="C24" s="1114" t="s">
        <v>330</v>
      </c>
      <c r="D24" s="243"/>
      <c r="E24" s="405"/>
      <c r="F24" s="926">
        <f>F25*F26*F27</f>
        <v>0</v>
      </c>
      <c r="G24" s="923"/>
      <c r="H24" s="926">
        <f>H25*H26*H27</f>
        <v>0</v>
      </c>
      <c r="I24" s="923"/>
      <c r="J24" s="926">
        <f>J25*J26*J27</f>
        <v>0</v>
      </c>
      <c r="K24" s="923"/>
      <c r="L24" s="926">
        <f>L25*L26*L27</f>
        <v>0</v>
      </c>
      <c r="M24" s="923"/>
      <c r="N24" s="32"/>
      <c r="O24" s="297">
        <f>F$8</f>
        <v>2024</v>
      </c>
      <c r="P24" s="297">
        <f>H$8</f>
        <v>2025</v>
      </c>
      <c r="Q24" s="297">
        <f>J$8</f>
        <v>2026</v>
      </c>
      <c r="R24" s="297">
        <f>L$8</f>
        <v>2027</v>
      </c>
      <c r="S24" s="331"/>
      <c r="T24" s="331"/>
      <c r="U24" s="331"/>
      <c r="V24" s="331"/>
      <c r="W24" s="331"/>
      <c r="X24" s="331"/>
      <c r="Y24" s="331"/>
      <c r="Z24" s="494"/>
      <c r="AA24" s="494"/>
      <c r="AB24" s="495"/>
    </row>
    <row r="25" spans="1:28" s="54" customFormat="1" ht="13.9" customHeight="1" x14ac:dyDescent="0.2">
      <c r="A25"/>
      <c r="B25" s="251"/>
      <c r="C25" s="1113" t="s">
        <v>724</v>
      </c>
      <c r="D25" s="245"/>
      <c r="E25" s="289"/>
      <c r="F25" s="636">
        <v>0</v>
      </c>
      <c r="G25" s="924"/>
      <c r="H25" s="636">
        <f>F25+F25*P25</f>
        <v>0</v>
      </c>
      <c r="I25" s="924"/>
      <c r="J25" s="636">
        <f>H25+H25*Q25</f>
        <v>0</v>
      </c>
      <c r="K25" s="924"/>
      <c r="L25" s="636">
        <f>J25+J25*R25</f>
        <v>0</v>
      </c>
      <c r="M25" s="924"/>
      <c r="N25" s="57"/>
      <c r="O25" s="357"/>
      <c r="P25" s="410">
        <v>0.03</v>
      </c>
      <c r="Q25" s="410">
        <f>P25</f>
        <v>0.03</v>
      </c>
      <c r="R25" s="410">
        <f>Q25</f>
        <v>0.03</v>
      </c>
      <c r="S25" s="331"/>
      <c r="T25" s="331"/>
      <c r="U25" s="331"/>
      <c r="V25" s="331"/>
      <c r="W25" s="331"/>
      <c r="X25" s="331"/>
      <c r="Y25" s="331"/>
      <c r="Z25" s="494"/>
      <c r="AA25" s="494"/>
      <c r="AB25" s="495"/>
    </row>
    <row r="26" spans="1:28" s="54" customFormat="1" ht="13.9" customHeight="1" x14ac:dyDescent="0.2">
      <c r="A26"/>
      <c r="B26" s="251"/>
      <c r="C26" s="1113" t="s">
        <v>329</v>
      </c>
      <c r="D26" s="243"/>
      <c r="E26" s="244"/>
      <c r="F26" s="925">
        <v>0</v>
      </c>
      <c r="G26" s="924"/>
      <c r="H26" s="925">
        <f>F26</f>
        <v>0</v>
      </c>
      <c r="I26" s="924"/>
      <c r="J26" s="925">
        <f>H26</f>
        <v>0</v>
      </c>
      <c r="K26" s="924"/>
      <c r="L26" s="925">
        <f>J26</f>
        <v>0</v>
      </c>
      <c r="M26" s="924"/>
      <c r="N26" s="57"/>
      <c r="O26" s="404"/>
      <c r="P26" s="331"/>
      <c r="Q26" s="331"/>
      <c r="R26" s="331"/>
      <c r="S26" s="331"/>
      <c r="T26" s="331"/>
      <c r="U26" s="331"/>
      <c r="V26" s="331"/>
      <c r="W26" s="331"/>
      <c r="X26" s="331"/>
      <c r="Y26" s="331"/>
      <c r="Z26" s="494"/>
      <c r="AA26" s="494"/>
      <c r="AB26" s="495"/>
    </row>
    <row r="27" spans="1:28" s="54" customFormat="1" ht="13.9" customHeight="1" x14ac:dyDescent="0.2">
      <c r="A27"/>
      <c r="B27" s="251"/>
      <c r="C27" s="1113" t="s">
        <v>61</v>
      </c>
      <c r="D27" s="243"/>
      <c r="E27" s="244"/>
      <c r="F27" s="925">
        <v>12.5</v>
      </c>
      <c r="G27" s="924"/>
      <c r="H27" s="925">
        <v>12.5</v>
      </c>
      <c r="I27" s="924"/>
      <c r="J27" s="925">
        <f>H27</f>
        <v>12.5</v>
      </c>
      <c r="K27" s="924"/>
      <c r="L27" s="925">
        <f>J27</f>
        <v>12.5</v>
      </c>
      <c r="M27" s="924"/>
      <c r="N27" s="57"/>
      <c r="O27" s="297">
        <f>F$8</f>
        <v>2024</v>
      </c>
      <c r="P27" s="297">
        <f>H$8</f>
        <v>2025</v>
      </c>
      <c r="Q27" s="297">
        <f>J$8</f>
        <v>2026</v>
      </c>
      <c r="R27" s="297">
        <f>L$8</f>
        <v>2027</v>
      </c>
      <c r="S27" s="1136" t="s">
        <v>465</v>
      </c>
      <c r="T27" s="157"/>
      <c r="U27" s="157"/>
      <c r="V27" s="157"/>
      <c r="W27" s="157"/>
      <c r="X27" s="157"/>
      <c r="Y27" s="157"/>
      <c r="Z27" s="546"/>
      <c r="AA27" s="546"/>
      <c r="AB27" s="547"/>
    </row>
    <row r="28" spans="1:28" s="54" customFormat="1" ht="13.9" customHeight="1" x14ac:dyDescent="0.2">
      <c r="A28"/>
      <c r="B28" s="251"/>
      <c r="C28" s="1113" t="s">
        <v>460</v>
      </c>
      <c r="D28" s="243"/>
      <c r="E28" s="244"/>
      <c r="F28" s="636">
        <v>0</v>
      </c>
      <c r="G28" s="924"/>
      <c r="H28" s="636">
        <f>F28+F28*P28</f>
        <v>0</v>
      </c>
      <c r="I28" s="924"/>
      <c r="J28" s="636">
        <f>H28+H28*Q28</f>
        <v>0</v>
      </c>
      <c r="K28" s="924"/>
      <c r="L28" s="636">
        <f>J28+J28*R28</f>
        <v>0</v>
      </c>
      <c r="M28" s="924"/>
      <c r="N28" s="57"/>
      <c r="O28" s="357"/>
      <c r="P28" s="410">
        <v>0.03</v>
      </c>
      <c r="Q28" s="410">
        <f>P28</f>
        <v>0.03</v>
      </c>
      <c r="R28" s="410">
        <f>Q28</f>
        <v>0.03</v>
      </c>
      <c r="S28" s="331"/>
      <c r="T28" s="331"/>
      <c r="U28" s="331"/>
      <c r="V28" s="331"/>
      <c r="W28" s="331"/>
      <c r="X28" s="331"/>
      <c r="Y28" s="331"/>
      <c r="Z28" s="494"/>
      <c r="AA28" s="494"/>
      <c r="AB28" s="495"/>
    </row>
    <row r="29" spans="1:28" s="54" customFormat="1" ht="13.9" customHeight="1" x14ac:dyDescent="0.2">
      <c r="A29"/>
      <c r="B29" s="251"/>
      <c r="C29" s="1259" t="s">
        <v>652</v>
      </c>
      <c r="D29" s="243"/>
      <c r="E29" s="259"/>
      <c r="F29" s="1144">
        <v>0.27</v>
      </c>
      <c r="G29" s="931"/>
      <c r="H29" s="1144">
        <f>F29</f>
        <v>0.27</v>
      </c>
      <c r="I29" s="924"/>
      <c r="J29" s="1144">
        <f>H29</f>
        <v>0.27</v>
      </c>
      <c r="K29" s="924"/>
      <c r="L29" s="1144">
        <f>J29</f>
        <v>0.27</v>
      </c>
      <c r="M29" s="924"/>
      <c r="N29" s="57"/>
      <c r="O29" s="404"/>
      <c r="P29" s="331"/>
      <c r="Q29" s="331"/>
      <c r="R29" s="331"/>
      <c r="S29" s="331"/>
      <c r="T29" s="331"/>
      <c r="U29" s="331"/>
      <c r="V29" s="331"/>
      <c r="W29" s="331"/>
      <c r="X29" s="331"/>
      <c r="Y29" s="331"/>
      <c r="Z29" s="494"/>
      <c r="AA29" s="494"/>
      <c r="AB29" s="495"/>
    </row>
    <row r="30" spans="1:28" s="54" customFormat="1" ht="13.9" customHeight="1" thickBot="1" x14ac:dyDescent="0.25">
      <c r="A30"/>
      <c r="B30" s="251"/>
      <c r="C30" s="174" t="s">
        <v>360</v>
      </c>
      <c r="D30" s="243"/>
      <c r="E30" s="259"/>
      <c r="F30" s="929">
        <v>0</v>
      </c>
      <c r="G30" s="930"/>
      <c r="H30" s="929">
        <v>0</v>
      </c>
      <c r="I30" s="930"/>
      <c r="J30" s="929">
        <v>0</v>
      </c>
      <c r="K30" s="930"/>
      <c r="L30" s="929">
        <v>0</v>
      </c>
      <c r="M30" s="931"/>
      <c r="N30" s="57"/>
      <c r="O30" s="404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494"/>
      <c r="AA30" s="494"/>
      <c r="AB30" s="495"/>
    </row>
    <row r="31" spans="1:28" s="1" customFormat="1" ht="13.9" customHeight="1" x14ac:dyDescent="0.2">
      <c r="A31"/>
      <c r="B31" s="1141" t="s">
        <v>3</v>
      </c>
      <c r="C31" s="114" t="s">
        <v>19</v>
      </c>
      <c r="D31" s="246"/>
      <c r="E31" s="242"/>
      <c r="F31" s="932">
        <f>F32+F39+F41+F43+F42</f>
        <v>0</v>
      </c>
      <c r="G31" s="933">
        <f>IF(F$44=0,0,F31/F$44*100)</f>
        <v>0</v>
      </c>
      <c r="H31" s="932">
        <f>H32+H39+H41+H43+H42</f>
        <v>0</v>
      </c>
      <c r="I31" s="933">
        <f>IF(H$44=0,0,H31/H$44*100)</f>
        <v>0</v>
      </c>
      <c r="J31" s="932">
        <f>J32+J39+J41+J43+J42</f>
        <v>0</v>
      </c>
      <c r="K31" s="933">
        <f>IF(J$44=0,0,J31/J$44*100)</f>
        <v>0</v>
      </c>
      <c r="L31" s="932">
        <f>L32+L39+L41+L43+L42</f>
        <v>0</v>
      </c>
      <c r="M31" s="933">
        <f>IF(L$44=0,0,L31/L$44*100)</f>
        <v>0</v>
      </c>
      <c r="N31" s="3"/>
      <c r="O31" s="404"/>
      <c r="P31" s="331"/>
      <c r="Q31" s="331"/>
      <c r="R31" s="331"/>
      <c r="S31" s="331"/>
      <c r="T31" s="331"/>
      <c r="U31" s="331"/>
      <c r="V31" s="331"/>
      <c r="W31" s="331"/>
      <c r="X31" s="331"/>
      <c r="Y31" s="331"/>
      <c r="Z31" s="494"/>
      <c r="AA31" s="494"/>
      <c r="AB31" s="495"/>
    </row>
    <row r="32" spans="1:28" s="4" customFormat="1" ht="13.9" customHeight="1" x14ac:dyDescent="0.2">
      <c r="A32" s="55"/>
      <c r="B32" s="447"/>
      <c r="C32" s="386" t="s">
        <v>21</v>
      </c>
      <c r="D32" s="248"/>
      <c r="E32" s="247"/>
      <c r="F32" s="926">
        <f>F34+F37+F38</f>
        <v>0</v>
      </c>
      <c r="G32" s="934"/>
      <c r="H32" s="926">
        <f>H34+H37+H38</f>
        <v>0</v>
      </c>
      <c r="I32" s="934"/>
      <c r="J32" s="926">
        <f>J34+J37+J38</f>
        <v>0</v>
      </c>
      <c r="K32" s="934"/>
      <c r="L32" s="926">
        <f>L34+L37+L38</f>
        <v>0</v>
      </c>
      <c r="M32" s="934"/>
      <c r="N32" s="33"/>
      <c r="O32" s="404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494"/>
      <c r="AA32" s="494"/>
      <c r="AB32" s="495"/>
    </row>
    <row r="33" spans="1:28" s="54" customFormat="1" ht="13.9" customHeight="1" x14ac:dyDescent="0.2">
      <c r="A33" s="2"/>
      <c r="B33" s="251"/>
      <c r="C33" s="1113" t="s">
        <v>513</v>
      </c>
      <c r="D33" s="248"/>
      <c r="E33" s="249"/>
      <c r="F33" s="935">
        <v>0.17399999999999999</v>
      </c>
      <c r="G33" s="936"/>
      <c r="H33" s="937">
        <f>F33</f>
        <v>0.17399999999999999</v>
      </c>
      <c r="I33" s="938"/>
      <c r="J33" s="937">
        <f>H33</f>
        <v>0.17399999999999999</v>
      </c>
      <c r="K33" s="936"/>
      <c r="L33" s="937">
        <f>J33</f>
        <v>0.17399999999999999</v>
      </c>
      <c r="M33" s="936"/>
      <c r="N33" s="57"/>
      <c r="O33" s="404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494"/>
      <c r="AA33" s="494"/>
      <c r="AB33" s="495"/>
    </row>
    <row r="34" spans="1:28" s="54" customFormat="1" ht="13.9" customHeight="1" x14ac:dyDescent="0.2">
      <c r="A34"/>
      <c r="B34" s="251"/>
      <c r="C34" s="1113" t="s">
        <v>514</v>
      </c>
      <c r="D34" s="406"/>
      <c r="E34" s="244"/>
      <c r="F34" s="939">
        <f>(F33)*(F17+F24+F22+F28)</f>
        <v>0</v>
      </c>
      <c r="G34" s="940"/>
      <c r="H34" s="939">
        <f>(H33)*(H17+H24+H22+H28)</f>
        <v>0</v>
      </c>
      <c r="I34" s="941"/>
      <c r="J34" s="939">
        <f>(J33)*(J17+J24+J22+J28)</f>
        <v>0</v>
      </c>
      <c r="K34" s="940"/>
      <c r="L34" s="939">
        <f>(L33)*(L17+L24+L22+L28)</f>
        <v>0</v>
      </c>
      <c r="M34" s="924"/>
      <c r="N34" s="57"/>
      <c r="O34" s="297">
        <f>F$8</f>
        <v>2024</v>
      </c>
      <c r="P34" s="297">
        <f>H$8</f>
        <v>2025</v>
      </c>
      <c r="Q34" s="297">
        <f>J$8</f>
        <v>2026</v>
      </c>
      <c r="R34" s="297">
        <f>L$8</f>
        <v>2027</v>
      </c>
      <c r="S34" s="331"/>
      <c r="T34" s="331"/>
      <c r="U34" s="331"/>
      <c r="V34" s="331"/>
      <c r="W34" s="331"/>
      <c r="X34" s="331"/>
      <c r="Y34" s="331"/>
      <c r="Z34" s="494"/>
      <c r="AA34" s="494"/>
      <c r="AB34" s="495"/>
    </row>
    <row r="35" spans="1:28" s="54" customFormat="1" ht="13.9" customHeight="1" x14ac:dyDescent="0.2">
      <c r="A35"/>
      <c r="B35" s="251"/>
      <c r="C35" s="1113" t="s">
        <v>331</v>
      </c>
      <c r="D35" s="243"/>
      <c r="E35" s="244"/>
      <c r="F35" s="942">
        <f>(F13+F14)*F15</f>
        <v>0</v>
      </c>
      <c r="G35" s="924"/>
      <c r="H35" s="942">
        <f>F35+F35*P35</f>
        <v>0</v>
      </c>
      <c r="I35" s="943"/>
      <c r="J35" s="942">
        <f>H35+H35*Q35</f>
        <v>0</v>
      </c>
      <c r="K35" s="924"/>
      <c r="L35" s="942">
        <f>J35+J35*R35</f>
        <v>0</v>
      </c>
      <c r="M35" s="924"/>
      <c r="N35" s="57"/>
      <c r="O35" s="357"/>
      <c r="P35" s="410">
        <v>0.03</v>
      </c>
      <c r="Q35" s="410">
        <f>P35</f>
        <v>0.03</v>
      </c>
      <c r="R35" s="410">
        <f>Q35</f>
        <v>0.03</v>
      </c>
      <c r="S35" s="331"/>
      <c r="T35" s="331"/>
      <c r="U35" s="331"/>
      <c r="V35" s="331"/>
      <c r="W35" s="331"/>
      <c r="X35" s="331"/>
      <c r="Y35" s="331"/>
      <c r="Z35" s="494"/>
      <c r="AA35" s="494"/>
      <c r="AB35" s="495"/>
    </row>
    <row r="36" spans="1:28" s="54" customFormat="1" ht="13.9" customHeight="1" x14ac:dyDescent="0.2">
      <c r="A36"/>
      <c r="B36" s="251"/>
      <c r="C36" s="1113" t="s">
        <v>73</v>
      </c>
      <c r="D36" s="248"/>
      <c r="E36" s="249"/>
      <c r="F36" s="935">
        <v>0.24099999999999999</v>
      </c>
      <c r="G36" s="936"/>
      <c r="H36" s="937">
        <f>F36</f>
        <v>0.24099999999999999</v>
      </c>
      <c r="I36" s="938"/>
      <c r="J36" s="937">
        <f>H36</f>
        <v>0.24099999999999999</v>
      </c>
      <c r="K36" s="936"/>
      <c r="L36" s="937">
        <f>J36</f>
        <v>0.24099999999999999</v>
      </c>
      <c r="M36" s="936"/>
      <c r="N36" s="57"/>
      <c r="O36" s="404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494"/>
      <c r="AA36" s="494"/>
      <c r="AB36" s="495"/>
    </row>
    <row r="37" spans="1:28" s="54" customFormat="1" ht="13.9" customHeight="1" x14ac:dyDescent="0.2">
      <c r="A37"/>
      <c r="B37" s="251"/>
      <c r="C37" s="1113" t="s">
        <v>22</v>
      </c>
      <c r="D37" s="406"/>
      <c r="E37" s="244"/>
      <c r="F37" s="663">
        <f>F35*F36</f>
        <v>0</v>
      </c>
      <c r="G37" s="924"/>
      <c r="H37" s="663">
        <f>H35*H36</f>
        <v>0</v>
      </c>
      <c r="I37" s="943"/>
      <c r="J37" s="663">
        <f>J35*J36</f>
        <v>0</v>
      </c>
      <c r="K37" s="924"/>
      <c r="L37" s="663">
        <f>L35*L36</f>
        <v>0</v>
      </c>
      <c r="M37" s="924"/>
      <c r="N37" s="57"/>
      <c r="O37" s="404"/>
      <c r="P37" s="331"/>
      <c r="Q37" s="331"/>
      <c r="R37" s="331"/>
      <c r="S37" s="331"/>
      <c r="T37" s="331"/>
      <c r="U37" s="331"/>
      <c r="V37" s="331"/>
      <c r="W37" s="331"/>
      <c r="X37" s="331"/>
      <c r="Y37" s="331"/>
      <c r="Z37" s="494"/>
      <c r="AA37" s="494"/>
      <c r="AB37" s="495"/>
    </row>
    <row r="38" spans="1:28" s="54" customFormat="1" ht="13.9" customHeight="1" x14ac:dyDescent="0.2">
      <c r="A38"/>
      <c r="B38" s="251"/>
      <c r="C38" s="1113" t="s">
        <v>23</v>
      </c>
      <c r="D38" s="406"/>
      <c r="E38" s="244"/>
      <c r="F38" s="636">
        <v>0</v>
      </c>
      <c r="G38" s="924"/>
      <c r="H38" s="636">
        <f>F38</f>
        <v>0</v>
      </c>
      <c r="I38" s="943"/>
      <c r="J38" s="636">
        <f>H38</f>
        <v>0</v>
      </c>
      <c r="K38" s="924"/>
      <c r="L38" s="636">
        <f>J38</f>
        <v>0</v>
      </c>
      <c r="M38" s="924"/>
      <c r="N38" s="57"/>
      <c r="O38" s="404" t="s">
        <v>0</v>
      </c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494"/>
      <c r="AA38" s="494"/>
      <c r="AB38" s="495"/>
    </row>
    <row r="39" spans="1:28" s="4" customFormat="1" ht="13.9" customHeight="1" x14ac:dyDescent="0.2">
      <c r="A39"/>
      <c r="B39" s="447"/>
      <c r="C39" s="386" t="s">
        <v>24</v>
      </c>
      <c r="D39" s="525"/>
      <c r="E39" s="247"/>
      <c r="F39" s="944">
        <f>(F40)*(F17+F24+F22+F28)</f>
        <v>0</v>
      </c>
      <c r="G39" s="945"/>
      <c r="H39" s="944">
        <f>(H40)*(H17+H24+H22+H28)</f>
        <v>0</v>
      </c>
      <c r="I39" s="946"/>
      <c r="J39" s="944">
        <f>(J40)*(J17+J24+J22+J28)</f>
        <v>0</v>
      </c>
      <c r="K39" s="945"/>
      <c r="L39" s="944">
        <f>(L40)*(L17+L24+L22+L28)</f>
        <v>0</v>
      </c>
      <c r="M39" s="934"/>
      <c r="N39" s="33"/>
      <c r="O39" s="404"/>
      <c r="P39" s="331"/>
      <c r="Q39" s="331"/>
      <c r="R39" s="331"/>
      <c r="S39" s="331"/>
      <c r="T39" s="331"/>
      <c r="U39" s="331"/>
      <c r="V39" s="331"/>
      <c r="W39" s="331"/>
      <c r="X39" s="331"/>
      <c r="Y39" s="331"/>
      <c r="Z39" s="494"/>
      <c r="AA39" s="494"/>
      <c r="AB39" s="495"/>
    </row>
    <row r="40" spans="1:28" s="54" customFormat="1" ht="13.9" customHeight="1" x14ac:dyDescent="0.2">
      <c r="A40"/>
      <c r="B40" s="251"/>
      <c r="C40" s="1113" t="s">
        <v>515</v>
      </c>
      <c r="D40" s="250"/>
      <c r="E40" s="249"/>
      <c r="F40" s="935">
        <v>2.81E-2</v>
      </c>
      <c r="G40" s="936"/>
      <c r="H40" s="937">
        <f>F40</f>
        <v>2.81E-2</v>
      </c>
      <c r="I40" s="938"/>
      <c r="J40" s="937">
        <f>H40</f>
        <v>2.81E-2</v>
      </c>
      <c r="K40" s="936"/>
      <c r="L40" s="937">
        <f>J40</f>
        <v>2.81E-2</v>
      </c>
      <c r="M40" s="936"/>
      <c r="N40" s="57"/>
      <c r="O40" s="404"/>
      <c r="P40" s="331"/>
      <c r="Q40" s="331"/>
      <c r="R40" s="331"/>
      <c r="S40" s="331"/>
      <c r="T40" s="331"/>
      <c r="U40" s="331"/>
      <c r="V40" s="331"/>
      <c r="W40" s="331"/>
      <c r="X40" s="331"/>
      <c r="Y40" s="331"/>
      <c r="Z40" s="494"/>
      <c r="AA40" s="494"/>
      <c r="AB40" s="495"/>
    </row>
    <row r="41" spans="1:28" s="54" customFormat="1" ht="13.9" customHeight="1" x14ac:dyDescent="0.2">
      <c r="A41"/>
      <c r="B41" s="251"/>
      <c r="C41" s="1115" t="s">
        <v>500</v>
      </c>
      <c r="D41" s="248"/>
      <c r="E41" s="244"/>
      <c r="F41" s="944">
        <f>1.7%*F35+1.53%*(F12+F14*F15)</f>
        <v>0</v>
      </c>
      <c r="G41" s="945"/>
      <c r="H41" s="944">
        <f>1.7%*H35+1.53%*(H12+H14*H15)</f>
        <v>0</v>
      </c>
      <c r="I41" s="947"/>
      <c r="J41" s="944">
        <f>1.7%*J35+1.53%*(J12+J14*J15)</f>
        <v>0</v>
      </c>
      <c r="K41" s="945"/>
      <c r="L41" s="944">
        <f>1.7%*L35+1.53%*(L12+L14*L15)</f>
        <v>0</v>
      </c>
      <c r="M41" s="924"/>
      <c r="N41" s="57"/>
      <c r="O41" s="297">
        <f>F$8</f>
        <v>2024</v>
      </c>
      <c r="P41" s="297">
        <f>H$8</f>
        <v>2025</v>
      </c>
      <c r="Q41" s="297">
        <f>J$8</f>
        <v>2026</v>
      </c>
      <c r="R41" s="297">
        <f>L$8</f>
        <v>2027</v>
      </c>
      <c r="S41" s="331"/>
      <c r="T41" s="331"/>
      <c r="U41" s="331"/>
      <c r="V41" s="331"/>
      <c r="W41" s="331"/>
      <c r="X41" s="331"/>
      <c r="Y41" s="331"/>
      <c r="Z41" s="494"/>
      <c r="AA41" s="494"/>
      <c r="AB41" s="495"/>
    </row>
    <row r="42" spans="1:28" s="54" customFormat="1" ht="13.9" customHeight="1" x14ac:dyDescent="0.2">
      <c r="A42"/>
      <c r="B42" s="251"/>
      <c r="C42" s="1115" t="s">
        <v>725</v>
      </c>
      <c r="D42" s="248"/>
      <c r="E42" s="244"/>
      <c r="F42" s="949">
        <v>0</v>
      </c>
      <c r="G42" s="934"/>
      <c r="H42" s="949">
        <f>F42+F42*P42</f>
        <v>0</v>
      </c>
      <c r="I42" s="948"/>
      <c r="J42" s="949">
        <f>H42+H42*Q42</f>
        <v>0</v>
      </c>
      <c r="K42" s="934"/>
      <c r="L42" s="949">
        <f>J42+J42*R42</f>
        <v>0</v>
      </c>
      <c r="M42" s="924"/>
      <c r="N42" s="57"/>
      <c r="O42" s="357"/>
      <c r="P42" s="410">
        <v>0.03</v>
      </c>
      <c r="Q42" s="410">
        <f>P42</f>
        <v>0.03</v>
      </c>
      <c r="R42" s="410">
        <f>Q42</f>
        <v>0.03</v>
      </c>
      <c r="S42" s="331"/>
      <c r="T42" s="331"/>
      <c r="U42" s="331"/>
      <c r="V42" s="331"/>
      <c r="W42" s="331"/>
      <c r="X42" s="331"/>
      <c r="Y42" s="331"/>
      <c r="Z42" s="494"/>
      <c r="AA42" s="494"/>
      <c r="AB42" s="495"/>
    </row>
    <row r="43" spans="1:28" s="54" customFormat="1" ht="13.9" customHeight="1" x14ac:dyDescent="0.2">
      <c r="A43"/>
      <c r="B43" s="251"/>
      <c r="C43" s="386" t="s">
        <v>373</v>
      </c>
      <c r="D43" s="248"/>
      <c r="E43" s="244"/>
      <c r="F43" s="949">
        <v>0</v>
      </c>
      <c r="G43" s="934"/>
      <c r="H43" s="949">
        <f>F43+F43*P43</f>
        <v>0</v>
      </c>
      <c r="I43" s="934"/>
      <c r="J43" s="949">
        <f>H43+H43*Q43</f>
        <v>0</v>
      </c>
      <c r="K43" s="934"/>
      <c r="L43" s="949">
        <f>J43+J43*R43</f>
        <v>0</v>
      </c>
      <c r="M43" s="934"/>
      <c r="N43" s="57"/>
      <c r="O43" s="357"/>
      <c r="P43" s="410">
        <v>0.03</v>
      </c>
      <c r="Q43" s="410">
        <f>P43</f>
        <v>0.03</v>
      </c>
      <c r="R43" s="410">
        <f>Q43</f>
        <v>0.03</v>
      </c>
      <c r="S43" s="331"/>
      <c r="T43" s="331"/>
      <c r="U43" s="331"/>
      <c r="V43" s="331"/>
      <c r="W43" s="331"/>
      <c r="X43" s="331"/>
      <c r="Y43" s="331"/>
      <c r="Z43" s="494"/>
      <c r="AA43" s="494"/>
      <c r="AB43" s="495"/>
    </row>
    <row r="44" spans="1:28" s="54" customFormat="1" ht="13.9" customHeight="1" thickBot="1" x14ac:dyDescent="0.25">
      <c r="A44"/>
      <c r="B44" s="251"/>
      <c r="C44" s="51" t="s">
        <v>74</v>
      </c>
      <c r="D44" s="252"/>
      <c r="E44" s="253"/>
      <c r="F44" s="950">
        <f>F31+F11</f>
        <v>0</v>
      </c>
      <c r="G44" s="951">
        <v>100</v>
      </c>
      <c r="H44" s="950">
        <f>H31+H11</f>
        <v>0</v>
      </c>
      <c r="I44" s="951">
        <v>100</v>
      </c>
      <c r="J44" s="950">
        <f>J31+J11</f>
        <v>0</v>
      </c>
      <c r="K44" s="951">
        <v>100</v>
      </c>
      <c r="L44" s="950">
        <f>L31+L11</f>
        <v>0</v>
      </c>
      <c r="M44" s="951">
        <v>100</v>
      </c>
      <c r="N44" s="57"/>
      <c r="O44" s="404"/>
      <c r="P44" s="331"/>
      <c r="Q44" s="331"/>
      <c r="R44" s="331"/>
      <c r="S44" s="331"/>
      <c r="T44" s="331"/>
      <c r="U44" s="331"/>
      <c r="V44" s="331"/>
      <c r="W44" s="331"/>
      <c r="X44" s="331"/>
      <c r="Y44" s="331"/>
      <c r="Z44" s="494"/>
      <c r="AA44" s="494"/>
      <c r="AB44" s="495"/>
    </row>
    <row r="45" spans="1:28" s="1" customFormat="1" ht="13.9" customHeight="1" x14ac:dyDescent="0.2">
      <c r="A45"/>
      <c r="B45" s="1141" t="s">
        <v>4</v>
      </c>
      <c r="C45" s="1148" t="s">
        <v>25</v>
      </c>
      <c r="D45" s="1149">
        <f>D46+D52+D63+D69+D74+D79+D83+D86+D87+D88+D94+D99+D104+D107+D112+D116+D117+D118+D121+D119+D120+D122+D123</f>
        <v>0</v>
      </c>
      <c r="E45" s="933">
        <v>100</v>
      </c>
      <c r="F45" s="920">
        <f>F46+F52+F63+F69+F74+F79+F83+F86+F87+F88+F94+F99+F104+F107+F112+F116+F117+F118+F121+F119+F120+F122+F123</f>
        <v>0</v>
      </c>
      <c r="G45" s="921">
        <v>100</v>
      </c>
      <c r="H45" s="920">
        <f>H46+H52+H63+H69+H74+H79+H83+H86+H87+H88+H94+H99+H104+H107+H112+H116+H117+H118+H121+H119+H120+H122+H123</f>
        <v>0</v>
      </c>
      <c r="I45" s="921">
        <v>100</v>
      </c>
      <c r="J45" s="920">
        <f>J46+J52+J63+J69+J74+J79+J83+J86+J87+J88+J94+J99+J104+J107+J112+J116+J117+J118+J121+J119+J120+J122+J123</f>
        <v>0</v>
      </c>
      <c r="K45" s="921">
        <v>100</v>
      </c>
      <c r="L45" s="920">
        <f>L46+L52+L63+L69+L74+L79+L83+L86+L87+L88+L94+L99+L104+L107+L112+L116+L117+L118+L121+L119+L120+L122+L123</f>
        <v>0</v>
      </c>
      <c r="M45" s="921">
        <v>100</v>
      </c>
      <c r="N45" s="3"/>
      <c r="O45" s="404"/>
      <c r="P45" s="331"/>
      <c r="Q45" s="331"/>
      <c r="R45" s="331"/>
      <c r="S45" s="331"/>
      <c r="T45" s="331"/>
      <c r="U45" s="331"/>
      <c r="V45" s="331"/>
      <c r="W45" s="331"/>
      <c r="X45" s="331"/>
      <c r="Y45" s="331"/>
      <c r="Z45" s="494"/>
      <c r="AA45" s="494"/>
      <c r="AB45" s="495"/>
    </row>
    <row r="46" spans="1:28" s="4" customFormat="1" ht="13.9" customHeight="1" x14ac:dyDescent="0.2">
      <c r="A46"/>
      <c r="B46" s="447" t="s">
        <v>0</v>
      </c>
      <c r="C46" s="1119" t="s">
        <v>26</v>
      </c>
      <c r="D46" s="1147">
        <f>SUM(D47:D51)</f>
        <v>0</v>
      </c>
      <c r="E46" s="963">
        <f>IF(D$45=0,0,100*D46/D$45)</f>
        <v>0</v>
      </c>
      <c r="F46" s="962">
        <f>SUM(F47:F51)</f>
        <v>0</v>
      </c>
      <c r="G46" s="963">
        <f>IF(F$45=0,0,100*F46/F$45)</f>
        <v>0</v>
      </c>
      <c r="H46" s="962">
        <f>SUM(H47:H51)</f>
        <v>0</v>
      </c>
      <c r="I46" s="963">
        <f>IF(H$45=0,0,100*H46/H$45)</f>
        <v>0</v>
      </c>
      <c r="J46" s="962">
        <f>SUM(J47:J51)</f>
        <v>0</v>
      </c>
      <c r="K46" s="963">
        <f>IF(J$45=0,0,100*J46/J$45)</f>
        <v>0</v>
      </c>
      <c r="L46" s="962">
        <f>SUM(L47:L51)</f>
        <v>0</v>
      </c>
      <c r="M46" s="963">
        <f>IF(L$45=0,0,100*L46/L$45)</f>
        <v>0</v>
      </c>
      <c r="N46" s="52"/>
      <c r="O46" s="297">
        <f>F$8</f>
        <v>2024</v>
      </c>
      <c r="P46" s="297">
        <f>H$8</f>
        <v>2025</v>
      </c>
      <c r="Q46" s="297">
        <f>J$8</f>
        <v>2026</v>
      </c>
      <c r="R46" s="297">
        <f>L$8</f>
        <v>2027</v>
      </c>
      <c r="S46" s="331"/>
      <c r="T46" s="331"/>
      <c r="U46" s="331"/>
      <c r="V46" s="331"/>
      <c r="W46" s="331"/>
      <c r="X46" s="331"/>
      <c r="Y46" s="331"/>
      <c r="Z46" s="494"/>
      <c r="AA46" s="494"/>
      <c r="AB46" s="495"/>
    </row>
    <row r="47" spans="1:28" s="54" customFormat="1" ht="13.9" customHeight="1" x14ac:dyDescent="0.2">
      <c r="A47"/>
      <c r="B47" s="251"/>
      <c r="C47" s="1113" t="s">
        <v>334</v>
      </c>
      <c r="D47" s="1112">
        <v>0</v>
      </c>
      <c r="E47" s="940"/>
      <c r="F47" s="636">
        <f>D47+D47*O47</f>
        <v>0</v>
      </c>
      <c r="G47" s="940"/>
      <c r="H47" s="636">
        <f>F47+F47*P47</f>
        <v>0</v>
      </c>
      <c r="I47" s="940"/>
      <c r="J47" s="636">
        <f>H47+H47*Q47</f>
        <v>0</v>
      </c>
      <c r="K47" s="940"/>
      <c r="L47" s="636">
        <f>J47+J47*R47</f>
        <v>0</v>
      </c>
      <c r="M47" s="940"/>
      <c r="N47" s="58"/>
      <c r="O47" s="410">
        <v>0.03</v>
      </c>
      <c r="P47" s="410">
        <f>O47</f>
        <v>0.03</v>
      </c>
      <c r="Q47" s="410">
        <f t="shared" ref="Q47:R51" si="0">P47</f>
        <v>0.03</v>
      </c>
      <c r="R47" s="410">
        <f t="shared" si="0"/>
        <v>0.03</v>
      </c>
      <c r="S47" s="331"/>
      <c r="T47" s="331"/>
      <c r="U47" s="331"/>
      <c r="V47" s="331"/>
      <c r="W47" s="331"/>
      <c r="X47" s="331"/>
      <c r="Y47" s="331"/>
      <c r="Z47" s="494"/>
      <c r="AA47" s="494"/>
      <c r="AB47" s="495"/>
    </row>
    <row r="48" spans="1:28" s="54" customFormat="1" ht="13.9" customHeight="1" x14ac:dyDescent="0.2">
      <c r="A48"/>
      <c r="B48" s="251"/>
      <c r="C48" s="1113" t="s">
        <v>335</v>
      </c>
      <c r="D48" s="1112">
        <v>0</v>
      </c>
      <c r="E48" s="940"/>
      <c r="F48" s="636">
        <f>D48+D48*O48</f>
        <v>0</v>
      </c>
      <c r="G48" s="940"/>
      <c r="H48" s="636">
        <f>F48+F48*P48</f>
        <v>0</v>
      </c>
      <c r="I48" s="940"/>
      <c r="J48" s="636">
        <f>H48+H48*Q48</f>
        <v>0</v>
      </c>
      <c r="K48" s="940"/>
      <c r="L48" s="636">
        <f>J48+J48*R48</f>
        <v>0</v>
      </c>
      <c r="M48" s="940"/>
      <c r="N48" s="57"/>
      <c r="O48" s="410">
        <v>0.03</v>
      </c>
      <c r="P48" s="410">
        <f>O48</f>
        <v>0.03</v>
      </c>
      <c r="Q48" s="410">
        <f>P48</f>
        <v>0.03</v>
      </c>
      <c r="R48" s="410">
        <f>Q48</f>
        <v>0.03</v>
      </c>
      <c r="S48" s="331"/>
      <c r="T48" s="331"/>
      <c r="U48" s="331"/>
      <c r="V48" s="331"/>
      <c r="W48" s="331"/>
      <c r="X48" s="331"/>
      <c r="Y48" s="331"/>
      <c r="Z48" s="494"/>
      <c r="AA48" s="494"/>
      <c r="AB48" s="495"/>
    </row>
    <row r="49" spans="1:28" s="54" customFormat="1" ht="13.9" customHeight="1" x14ac:dyDescent="0.2">
      <c r="A49"/>
      <c r="B49" s="251"/>
      <c r="C49" s="1113" t="s">
        <v>29</v>
      </c>
      <c r="D49" s="1112">
        <v>0</v>
      </c>
      <c r="E49" s="940"/>
      <c r="F49" s="636">
        <f>D49+D49*O49</f>
        <v>0</v>
      </c>
      <c r="G49" s="940"/>
      <c r="H49" s="636">
        <f>F49+F49*P49</f>
        <v>0</v>
      </c>
      <c r="I49" s="940"/>
      <c r="J49" s="636">
        <f>H49+H49*Q49</f>
        <v>0</v>
      </c>
      <c r="K49" s="940"/>
      <c r="L49" s="636">
        <f>J49+J49*R49</f>
        <v>0</v>
      </c>
      <c r="M49" s="940"/>
      <c r="N49" s="57"/>
      <c r="O49" s="410">
        <v>0.03</v>
      </c>
      <c r="P49" s="410">
        <f>O49</f>
        <v>0.03</v>
      </c>
      <c r="Q49" s="410">
        <f>P49</f>
        <v>0.03</v>
      </c>
      <c r="R49" s="410">
        <f>Q49</f>
        <v>0.03</v>
      </c>
      <c r="S49" s="331"/>
      <c r="T49" s="331" t="s">
        <v>641</v>
      </c>
      <c r="U49" s="331"/>
      <c r="V49" s="331"/>
      <c r="W49" s="331"/>
      <c r="X49" s="331"/>
      <c r="Y49" s="331"/>
      <c r="Z49" s="494"/>
      <c r="AA49" s="494"/>
      <c r="AB49" s="495"/>
    </row>
    <row r="50" spans="1:28" s="54" customFormat="1" ht="13.9" customHeight="1" x14ac:dyDescent="0.2">
      <c r="A50"/>
      <c r="B50" s="251"/>
      <c r="C50" s="1113" t="s">
        <v>30</v>
      </c>
      <c r="D50" s="1112">
        <v>0</v>
      </c>
      <c r="E50" s="940"/>
      <c r="F50" s="636">
        <f>D50+D50*O50</f>
        <v>0</v>
      </c>
      <c r="G50" s="940"/>
      <c r="H50" s="636">
        <f>F50+F50*P50</f>
        <v>0</v>
      </c>
      <c r="I50" s="940"/>
      <c r="J50" s="636">
        <f>H50+H50*Q50</f>
        <v>0</v>
      </c>
      <c r="K50" s="940"/>
      <c r="L50" s="636">
        <f>J50+J50*R50</f>
        <v>0</v>
      </c>
      <c r="M50" s="940"/>
      <c r="N50" s="57"/>
      <c r="O50" s="410">
        <v>0.03</v>
      </c>
      <c r="P50" s="410">
        <f>O50</f>
        <v>0.03</v>
      </c>
      <c r="Q50" s="410">
        <f t="shared" si="0"/>
        <v>0.03</v>
      </c>
      <c r="R50" s="410">
        <f t="shared" si="0"/>
        <v>0.03</v>
      </c>
      <c r="S50" s="331"/>
      <c r="T50" s="331"/>
      <c r="U50" s="331"/>
      <c r="V50" s="331"/>
      <c r="W50" s="331"/>
      <c r="X50" s="331"/>
      <c r="Y50" s="331"/>
      <c r="Z50" s="494"/>
      <c r="AA50" s="494"/>
      <c r="AB50" s="495"/>
    </row>
    <row r="51" spans="1:28" s="54" customFormat="1" ht="13.9" customHeight="1" thickBot="1" x14ac:dyDescent="0.25">
      <c r="A51"/>
      <c r="B51" s="251"/>
      <c r="C51" s="1117" t="s">
        <v>31</v>
      </c>
      <c r="D51" s="1112">
        <v>0</v>
      </c>
      <c r="E51" s="954"/>
      <c r="F51" s="636">
        <f>D51+D51*O51</f>
        <v>0</v>
      </c>
      <c r="G51" s="954"/>
      <c r="H51" s="636">
        <f>F51+F51*P51</f>
        <v>0</v>
      </c>
      <c r="I51" s="954"/>
      <c r="J51" s="955">
        <f>H51+H51*Q51</f>
        <v>0</v>
      </c>
      <c r="K51" s="954"/>
      <c r="L51" s="955">
        <f>J51+J51*R51</f>
        <v>0</v>
      </c>
      <c r="M51" s="954"/>
      <c r="N51" s="57"/>
      <c r="O51" s="410">
        <v>0.03</v>
      </c>
      <c r="P51" s="410">
        <f>O51</f>
        <v>0.03</v>
      </c>
      <c r="Q51" s="410">
        <f t="shared" si="0"/>
        <v>0.03</v>
      </c>
      <c r="R51" s="410">
        <f t="shared" si="0"/>
        <v>0.03</v>
      </c>
      <c r="S51" s="331"/>
      <c r="T51" s="331"/>
      <c r="U51" s="331"/>
      <c r="V51" s="331"/>
      <c r="W51" s="331"/>
      <c r="X51" s="331"/>
      <c r="Y51" s="331"/>
      <c r="Z51" s="494"/>
      <c r="AA51" s="494"/>
      <c r="AB51" s="495"/>
    </row>
    <row r="52" spans="1:28" s="4" customFormat="1" ht="13.9" customHeight="1" x14ac:dyDescent="0.2">
      <c r="A52"/>
      <c r="B52" s="1124" t="s">
        <v>0</v>
      </c>
      <c r="C52" s="1116" t="s">
        <v>27</v>
      </c>
      <c r="D52" s="952">
        <f>SUM(D53:D62)</f>
        <v>0</v>
      </c>
      <c r="E52" s="953">
        <f>IF(D$45=0,0,100*D52/D$45)</f>
        <v>0</v>
      </c>
      <c r="F52" s="952">
        <f>SUM(F53:F62)</f>
        <v>0</v>
      </c>
      <c r="G52" s="953">
        <f>IF(F$45=0,0,100*F52/F$45)</f>
        <v>0</v>
      </c>
      <c r="H52" s="952">
        <f>SUM(H53:H62)</f>
        <v>0</v>
      </c>
      <c r="I52" s="953">
        <f>IF(H$45=0,0,100*H52/H$45)</f>
        <v>0</v>
      </c>
      <c r="J52" s="952">
        <f>SUM(J53:J62)</f>
        <v>0</v>
      </c>
      <c r="K52" s="953">
        <f>IF(J$45=0,0,100*J52/J$45)</f>
        <v>0</v>
      </c>
      <c r="L52" s="952">
        <f>SUM(L53:L62)</f>
        <v>0</v>
      </c>
      <c r="M52" s="953">
        <f>IF(L$45=0,0,100*L52/L$45)</f>
        <v>0</v>
      </c>
      <c r="N52" s="52"/>
      <c r="O52" s="297">
        <f>F$8</f>
        <v>2024</v>
      </c>
      <c r="P52" s="297">
        <f>H$8</f>
        <v>2025</v>
      </c>
      <c r="Q52" s="297">
        <f>J$8</f>
        <v>2026</v>
      </c>
      <c r="R52" s="297">
        <f>L$8</f>
        <v>2027</v>
      </c>
      <c r="S52" s="331"/>
      <c r="T52" s="331"/>
      <c r="U52" s="331"/>
      <c r="V52" s="331"/>
      <c r="W52" s="331"/>
      <c r="X52" s="331"/>
      <c r="Y52" s="331"/>
      <c r="Z52" s="494"/>
      <c r="AA52" s="494"/>
      <c r="AB52" s="495"/>
    </row>
    <row r="53" spans="1:28" s="54" customFormat="1" ht="13.9" customHeight="1" x14ac:dyDescent="0.2">
      <c r="A53"/>
      <c r="B53" s="1125"/>
      <c r="C53" s="1113" t="s">
        <v>717</v>
      </c>
      <c r="D53" s="636">
        <v>0</v>
      </c>
      <c r="E53" s="940"/>
      <c r="F53" s="636">
        <f>D53+D53*O53</f>
        <v>0</v>
      </c>
      <c r="G53" s="940"/>
      <c r="H53" s="636">
        <f>F53+F53*P53</f>
        <v>0</v>
      </c>
      <c r="I53" s="940"/>
      <c r="J53" s="636">
        <f>H53+H53*Q53</f>
        <v>0</v>
      </c>
      <c r="K53" s="940"/>
      <c r="L53" s="636">
        <f t="shared" ref="L53:L62" si="1">J53+J53*R53</f>
        <v>0</v>
      </c>
      <c r="M53" s="940"/>
      <c r="N53" s="58"/>
      <c r="O53" s="410">
        <v>0.03</v>
      </c>
      <c r="P53" s="410">
        <f t="shared" ref="P53:P62" si="2">O53</f>
        <v>0.03</v>
      </c>
      <c r="Q53" s="410">
        <f t="shared" ref="Q53:R62" si="3">P53</f>
        <v>0.03</v>
      </c>
      <c r="R53" s="410">
        <f t="shared" si="3"/>
        <v>0.03</v>
      </c>
      <c r="S53" s="331"/>
      <c r="T53" s="331"/>
      <c r="U53" s="331"/>
      <c r="V53" s="331"/>
      <c r="W53" s="331"/>
      <c r="X53" s="331"/>
      <c r="Y53" s="331"/>
      <c r="Z53" s="494"/>
      <c r="AA53" s="494"/>
      <c r="AB53" s="495"/>
    </row>
    <row r="54" spans="1:28" s="54" customFormat="1" ht="13.9" customHeight="1" x14ac:dyDescent="0.2">
      <c r="A54" s="55"/>
      <c r="B54" s="251"/>
      <c r="C54" s="1113" t="s">
        <v>32</v>
      </c>
      <c r="D54" s="636">
        <v>0</v>
      </c>
      <c r="E54" s="940"/>
      <c r="F54" s="636">
        <f t="shared" ref="F54:F62" si="4">D54+D54*O54</f>
        <v>0</v>
      </c>
      <c r="G54" s="940"/>
      <c r="H54" s="636">
        <f t="shared" ref="H54:H62" si="5">F54+F54*P54</f>
        <v>0</v>
      </c>
      <c r="I54" s="940"/>
      <c r="J54" s="636">
        <f t="shared" ref="J54:J62" si="6">H54+H54*Q54</f>
        <v>0</v>
      </c>
      <c r="K54" s="940"/>
      <c r="L54" s="636">
        <f t="shared" si="1"/>
        <v>0</v>
      </c>
      <c r="M54" s="940"/>
      <c r="N54" s="59"/>
      <c r="O54" s="410">
        <v>0.03</v>
      </c>
      <c r="P54" s="410">
        <f t="shared" si="2"/>
        <v>0.03</v>
      </c>
      <c r="Q54" s="410">
        <f t="shared" si="3"/>
        <v>0.03</v>
      </c>
      <c r="R54" s="410">
        <f t="shared" si="3"/>
        <v>0.03</v>
      </c>
      <c r="S54" s="331"/>
      <c r="T54" s="331"/>
      <c r="U54" s="331"/>
      <c r="V54" s="331"/>
      <c r="W54" s="331"/>
      <c r="X54" s="331"/>
      <c r="Y54" s="331"/>
      <c r="Z54" s="494"/>
      <c r="AA54" s="494"/>
      <c r="AB54" s="495"/>
    </row>
    <row r="55" spans="1:28" s="54" customFormat="1" ht="13.9" customHeight="1" x14ac:dyDescent="0.2">
      <c r="A55" s="2"/>
      <c r="B55" s="251"/>
      <c r="C55" s="1113" t="s">
        <v>33</v>
      </c>
      <c r="D55" s="636">
        <v>0</v>
      </c>
      <c r="E55" s="940"/>
      <c r="F55" s="636">
        <f t="shared" si="4"/>
        <v>0</v>
      </c>
      <c r="G55" s="940"/>
      <c r="H55" s="636">
        <f t="shared" si="5"/>
        <v>0</v>
      </c>
      <c r="I55" s="940"/>
      <c r="J55" s="636">
        <f t="shared" si="6"/>
        <v>0</v>
      </c>
      <c r="K55" s="940"/>
      <c r="L55" s="636">
        <f t="shared" si="1"/>
        <v>0</v>
      </c>
      <c r="M55" s="940"/>
      <c r="N55" s="59"/>
      <c r="O55" s="410">
        <v>0.03</v>
      </c>
      <c r="P55" s="410">
        <f t="shared" si="2"/>
        <v>0.03</v>
      </c>
      <c r="Q55" s="410">
        <f t="shared" si="3"/>
        <v>0.03</v>
      </c>
      <c r="R55" s="410">
        <f t="shared" si="3"/>
        <v>0.03</v>
      </c>
      <c r="S55" s="331"/>
      <c r="T55" s="331"/>
      <c r="U55" s="331"/>
      <c r="V55" s="331"/>
      <c r="W55" s="331"/>
      <c r="X55" s="331"/>
      <c r="Y55" s="331"/>
      <c r="Z55" s="494"/>
      <c r="AA55" s="494"/>
      <c r="AB55" s="495"/>
    </row>
    <row r="56" spans="1:28" s="54" customFormat="1" ht="13.9" customHeight="1" x14ac:dyDescent="0.2">
      <c r="A56"/>
      <c r="B56" s="251"/>
      <c r="C56" s="1113" t="s">
        <v>34</v>
      </c>
      <c r="D56" s="636">
        <v>0</v>
      </c>
      <c r="E56" s="940"/>
      <c r="F56" s="636">
        <f t="shared" si="4"/>
        <v>0</v>
      </c>
      <c r="G56" s="940"/>
      <c r="H56" s="636">
        <f t="shared" si="5"/>
        <v>0</v>
      </c>
      <c r="I56" s="940"/>
      <c r="J56" s="636">
        <f t="shared" si="6"/>
        <v>0</v>
      </c>
      <c r="K56" s="940"/>
      <c r="L56" s="636">
        <f t="shared" si="1"/>
        <v>0</v>
      </c>
      <c r="M56" s="940"/>
      <c r="N56" s="59"/>
      <c r="O56" s="410">
        <v>0.03</v>
      </c>
      <c r="P56" s="410">
        <f t="shared" si="2"/>
        <v>0.03</v>
      </c>
      <c r="Q56" s="410">
        <f t="shared" si="3"/>
        <v>0.03</v>
      </c>
      <c r="R56" s="410">
        <f t="shared" si="3"/>
        <v>0.03</v>
      </c>
      <c r="S56" s="331"/>
      <c r="T56" s="331"/>
      <c r="U56" s="331" t="s">
        <v>640</v>
      </c>
      <c r="V56" s="331"/>
      <c r="W56" s="331"/>
      <c r="X56" s="331"/>
      <c r="Y56" s="331"/>
      <c r="Z56" s="494"/>
      <c r="AA56" s="494"/>
      <c r="AB56" s="495"/>
    </row>
    <row r="57" spans="1:28" s="54" customFormat="1" ht="13.9" customHeight="1" x14ac:dyDescent="0.2">
      <c r="A57"/>
      <c r="B57" s="251"/>
      <c r="C57" s="1113" t="s">
        <v>342</v>
      </c>
      <c r="D57" s="636">
        <v>0</v>
      </c>
      <c r="E57" s="940"/>
      <c r="F57" s="636">
        <f t="shared" si="4"/>
        <v>0</v>
      </c>
      <c r="G57" s="940"/>
      <c r="H57" s="636">
        <f t="shared" si="5"/>
        <v>0</v>
      </c>
      <c r="I57" s="940"/>
      <c r="J57" s="636">
        <f t="shared" si="6"/>
        <v>0</v>
      </c>
      <c r="K57" s="940"/>
      <c r="L57" s="636">
        <f t="shared" si="1"/>
        <v>0</v>
      </c>
      <c r="M57" s="940"/>
      <c r="N57" s="59"/>
      <c r="O57" s="410">
        <v>0.03</v>
      </c>
      <c r="P57" s="410">
        <f t="shared" si="2"/>
        <v>0.03</v>
      </c>
      <c r="Q57" s="410">
        <f t="shared" si="3"/>
        <v>0.03</v>
      </c>
      <c r="R57" s="410">
        <f t="shared" si="3"/>
        <v>0.03</v>
      </c>
      <c r="S57" s="331"/>
      <c r="T57" s="331"/>
      <c r="U57" s="331"/>
      <c r="V57" s="331"/>
      <c r="W57" s="331"/>
      <c r="X57" s="331"/>
      <c r="Y57" s="331"/>
      <c r="Z57" s="494"/>
      <c r="AA57" s="494"/>
      <c r="AB57" s="495"/>
    </row>
    <row r="58" spans="1:28" s="54" customFormat="1" ht="13.9" customHeight="1" x14ac:dyDescent="0.2">
      <c r="B58" s="251"/>
      <c r="C58" s="1113" t="s">
        <v>343</v>
      </c>
      <c r="D58" s="636">
        <v>0</v>
      </c>
      <c r="E58" s="940"/>
      <c r="F58" s="636">
        <f t="shared" si="4"/>
        <v>0</v>
      </c>
      <c r="G58" s="940"/>
      <c r="H58" s="636">
        <f t="shared" si="5"/>
        <v>0</v>
      </c>
      <c r="I58" s="940"/>
      <c r="J58" s="636">
        <f t="shared" si="6"/>
        <v>0</v>
      </c>
      <c r="K58" s="940"/>
      <c r="L58" s="636">
        <f t="shared" si="1"/>
        <v>0</v>
      </c>
      <c r="M58" s="940"/>
      <c r="N58" s="59"/>
      <c r="O58" s="410">
        <v>0.03</v>
      </c>
      <c r="P58" s="410">
        <f t="shared" si="2"/>
        <v>0.03</v>
      </c>
      <c r="Q58" s="410">
        <f t="shared" si="3"/>
        <v>0.03</v>
      </c>
      <c r="R58" s="410">
        <f t="shared" si="3"/>
        <v>0.03</v>
      </c>
      <c r="S58" s="331"/>
      <c r="T58" s="331"/>
      <c r="U58" s="331"/>
      <c r="V58" s="331"/>
      <c r="W58" s="331"/>
      <c r="X58" s="331"/>
      <c r="Y58" s="331"/>
      <c r="Z58" s="494"/>
      <c r="AA58" s="494"/>
      <c r="AB58" s="495"/>
    </row>
    <row r="59" spans="1:28" s="54" customFormat="1" ht="13.9" customHeight="1" x14ac:dyDescent="0.2">
      <c r="A59" s="4"/>
      <c r="B59" s="251"/>
      <c r="C59" s="1113" t="s">
        <v>28</v>
      </c>
      <c r="D59" s="636">
        <v>0</v>
      </c>
      <c r="E59" s="940"/>
      <c r="F59" s="636">
        <f t="shared" si="4"/>
        <v>0</v>
      </c>
      <c r="G59" s="940"/>
      <c r="H59" s="636">
        <f t="shared" si="5"/>
        <v>0</v>
      </c>
      <c r="I59" s="940"/>
      <c r="J59" s="636">
        <f t="shared" si="6"/>
        <v>0</v>
      </c>
      <c r="K59" s="940"/>
      <c r="L59" s="636">
        <f t="shared" si="1"/>
        <v>0</v>
      </c>
      <c r="M59" s="940"/>
      <c r="N59" s="59"/>
      <c r="O59" s="410">
        <v>0.03</v>
      </c>
      <c r="P59" s="410">
        <f t="shared" si="2"/>
        <v>0.03</v>
      </c>
      <c r="Q59" s="410">
        <f t="shared" si="3"/>
        <v>0.03</v>
      </c>
      <c r="R59" s="410">
        <f t="shared" si="3"/>
        <v>0.03</v>
      </c>
      <c r="S59" s="331"/>
      <c r="T59" s="331"/>
      <c r="U59" s="331"/>
      <c r="V59" s="331"/>
      <c r="W59" s="331"/>
      <c r="X59" s="331"/>
      <c r="Y59" s="331"/>
      <c r="Z59" s="494"/>
      <c r="AA59" s="494"/>
      <c r="AB59" s="495"/>
    </row>
    <row r="60" spans="1:28" s="54" customFormat="1" ht="13.9" customHeight="1" x14ac:dyDescent="0.2">
      <c r="A60" s="4"/>
      <c r="B60" s="251"/>
      <c r="C60" s="1113" t="s">
        <v>344</v>
      </c>
      <c r="D60" s="636">
        <v>0</v>
      </c>
      <c r="E60" s="940"/>
      <c r="F60" s="636">
        <f t="shared" si="4"/>
        <v>0</v>
      </c>
      <c r="G60" s="940"/>
      <c r="H60" s="636">
        <f>F60+F60*P60</f>
        <v>0</v>
      </c>
      <c r="I60" s="940"/>
      <c r="J60" s="636">
        <f>H60+H60*Q60</f>
        <v>0</v>
      </c>
      <c r="K60" s="940"/>
      <c r="L60" s="636">
        <f>J60+J60*R60</f>
        <v>0</v>
      </c>
      <c r="M60" s="940"/>
      <c r="N60" s="59"/>
      <c r="O60" s="410">
        <v>0.03</v>
      </c>
      <c r="P60" s="410">
        <f t="shared" si="2"/>
        <v>0.03</v>
      </c>
      <c r="Q60" s="410">
        <f t="shared" si="3"/>
        <v>0.03</v>
      </c>
      <c r="R60" s="410">
        <f t="shared" si="3"/>
        <v>0.03</v>
      </c>
      <c r="S60" s="331"/>
      <c r="T60" s="331"/>
      <c r="U60" s="331"/>
      <c r="V60" s="331"/>
      <c r="W60" s="331"/>
      <c r="X60" s="331"/>
      <c r="Y60" s="331"/>
      <c r="Z60" s="494"/>
      <c r="AA60" s="494"/>
      <c r="AB60" s="495"/>
    </row>
    <row r="61" spans="1:28" s="54" customFormat="1" ht="13.9" customHeight="1" x14ac:dyDescent="0.2">
      <c r="A61" s="2"/>
      <c r="B61" s="251"/>
      <c r="C61" s="1113" t="s">
        <v>35</v>
      </c>
      <c r="D61" s="636">
        <v>0</v>
      </c>
      <c r="E61" s="940"/>
      <c r="F61" s="636">
        <f t="shared" si="4"/>
        <v>0</v>
      </c>
      <c r="G61" s="940"/>
      <c r="H61" s="636">
        <f t="shared" si="5"/>
        <v>0</v>
      </c>
      <c r="I61" s="940">
        <v>0</v>
      </c>
      <c r="J61" s="636">
        <f t="shared" si="6"/>
        <v>0</v>
      </c>
      <c r="K61" s="940"/>
      <c r="L61" s="636">
        <f t="shared" si="1"/>
        <v>0</v>
      </c>
      <c r="M61" s="940"/>
      <c r="N61" s="59"/>
      <c r="O61" s="410">
        <v>0.03</v>
      </c>
      <c r="P61" s="410">
        <f t="shared" si="2"/>
        <v>0.03</v>
      </c>
      <c r="Q61" s="410">
        <f t="shared" si="3"/>
        <v>0.03</v>
      </c>
      <c r="R61" s="410">
        <f t="shared" si="3"/>
        <v>0.03</v>
      </c>
      <c r="S61" s="331"/>
      <c r="T61" s="331"/>
      <c r="U61" s="331"/>
      <c r="V61" s="331"/>
      <c r="W61" s="331"/>
      <c r="X61" s="331"/>
      <c r="Y61" s="331"/>
      <c r="Z61" s="494"/>
      <c r="AA61" s="494"/>
      <c r="AB61" s="495"/>
    </row>
    <row r="62" spans="1:28" s="54" customFormat="1" ht="13.9" customHeight="1" thickBot="1" x14ac:dyDescent="0.25">
      <c r="A62" s="55"/>
      <c r="B62" s="251"/>
      <c r="C62" s="1118" t="s">
        <v>36</v>
      </c>
      <c r="D62" s="636">
        <v>0</v>
      </c>
      <c r="E62" s="956"/>
      <c r="F62" s="636">
        <f t="shared" si="4"/>
        <v>0</v>
      </c>
      <c r="G62" s="956"/>
      <c r="H62" s="636">
        <f t="shared" si="5"/>
        <v>0</v>
      </c>
      <c r="I62" s="956"/>
      <c r="J62" s="636">
        <f t="shared" si="6"/>
        <v>0</v>
      </c>
      <c r="K62" s="956"/>
      <c r="L62" s="636">
        <f t="shared" si="1"/>
        <v>0</v>
      </c>
      <c r="M62" s="956"/>
      <c r="N62" s="59"/>
      <c r="O62" s="410">
        <v>0.03</v>
      </c>
      <c r="P62" s="410">
        <f t="shared" si="2"/>
        <v>0.03</v>
      </c>
      <c r="Q62" s="410">
        <f t="shared" si="3"/>
        <v>0.03</v>
      </c>
      <c r="R62" s="410">
        <f t="shared" si="3"/>
        <v>0.03</v>
      </c>
      <c r="S62" s="331"/>
      <c r="T62" s="331"/>
      <c r="U62" s="331"/>
      <c r="V62" s="331"/>
      <c r="W62" s="331"/>
      <c r="X62" s="331"/>
      <c r="Y62" s="331"/>
      <c r="Z62" s="494"/>
      <c r="AA62" s="494"/>
      <c r="AB62" s="495"/>
    </row>
    <row r="63" spans="1:28" s="4" customFormat="1" ht="13.9" customHeight="1" x14ac:dyDescent="0.2">
      <c r="A63"/>
      <c r="B63" s="447"/>
      <c r="C63" s="1116" t="s">
        <v>504</v>
      </c>
      <c r="D63" s="952">
        <f>SUM(D64:D68)</f>
        <v>0</v>
      </c>
      <c r="E63" s="953">
        <f>IF(D$45=0,0,100*D63/D$45)</f>
        <v>0</v>
      </c>
      <c r="F63" s="952">
        <f>SUM(F64:F68)</f>
        <v>0</v>
      </c>
      <c r="G63" s="953">
        <f>IF(F$45=0,0,100*F63/F$45)</f>
        <v>0</v>
      </c>
      <c r="H63" s="952">
        <f>SUM(H64:H68)</f>
        <v>0</v>
      </c>
      <c r="I63" s="953">
        <f>IF(H$45=0,0,100*H63/H$45)</f>
        <v>0</v>
      </c>
      <c r="J63" s="952">
        <f>SUM(J64:J68)</f>
        <v>0</v>
      </c>
      <c r="K63" s="953">
        <f>IF(J$45=0,0,100*J63/J$45)</f>
        <v>0</v>
      </c>
      <c r="L63" s="952">
        <f>SUM(L64:L68)</f>
        <v>0</v>
      </c>
      <c r="M63" s="953">
        <f>IF(L$45=0,0,100*L63/L$45)</f>
        <v>0</v>
      </c>
      <c r="N63" s="33"/>
      <c r="O63" s="297">
        <f>F$8</f>
        <v>2024</v>
      </c>
      <c r="P63" s="297">
        <f>H$8</f>
        <v>2025</v>
      </c>
      <c r="Q63" s="297">
        <f>J$8</f>
        <v>2026</v>
      </c>
      <c r="R63" s="297">
        <f>L$8</f>
        <v>2027</v>
      </c>
      <c r="S63" s="331"/>
      <c r="T63" s="331"/>
      <c r="U63" s="331"/>
      <c r="V63" s="331"/>
      <c r="W63" s="331"/>
      <c r="X63" s="331"/>
      <c r="Y63" s="331"/>
      <c r="Z63" s="494"/>
      <c r="AA63" s="494"/>
      <c r="AB63" s="495"/>
    </row>
    <row r="64" spans="1:28" s="54" customFormat="1" ht="13.9" customHeight="1" x14ac:dyDescent="0.2">
      <c r="A64" s="55"/>
      <c r="B64" s="251"/>
      <c r="C64" s="1113" t="s">
        <v>178</v>
      </c>
      <c r="D64" s="636">
        <v>0</v>
      </c>
      <c r="E64" s="940"/>
      <c r="F64" s="636">
        <f>D64+D64*O64</f>
        <v>0</v>
      </c>
      <c r="G64" s="940"/>
      <c r="H64" s="636">
        <f>F64+F64*Q64</f>
        <v>0</v>
      </c>
      <c r="I64" s="940"/>
      <c r="J64" s="636">
        <f>H64+H64*Q64</f>
        <v>0</v>
      </c>
      <c r="K64" s="940"/>
      <c r="L64" s="636">
        <f>J64+J64*R64</f>
        <v>0</v>
      </c>
      <c r="M64" s="940"/>
      <c r="N64" s="57"/>
      <c r="O64" s="410">
        <v>0.03</v>
      </c>
      <c r="P64" s="410">
        <f>O64</f>
        <v>0.03</v>
      </c>
      <c r="Q64" s="410">
        <f t="shared" ref="Q64:R68" si="7">P64</f>
        <v>0.03</v>
      </c>
      <c r="R64" s="410">
        <f t="shared" si="7"/>
        <v>0.03</v>
      </c>
      <c r="S64" s="331"/>
      <c r="T64" s="331"/>
      <c r="U64" s="331"/>
      <c r="V64" s="331"/>
      <c r="W64" s="331"/>
      <c r="X64" s="331"/>
      <c r="Y64" s="331"/>
      <c r="Z64" s="494"/>
      <c r="AA64" s="494"/>
      <c r="AB64" s="495"/>
    </row>
    <row r="65" spans="2:28" s="54" customFormat="1" ht="13.9" customHeight="1" x14ac:dyDescent="0.2">
      <c r="B65" s="251"/>
      <c r="C65" s="1113" t="s">
        <v>179</v>
      </c>
      <c r="D65" s="636">
        <v>0</v>
      </c>
      <c r="E65" s="940"/>
      <c r="F65" s="636">
        <f>D65+D65*O65</f>
        <v>0</v>
      </c>
      <c r="G65" s="940"/>
      <c r="H65" s="636">
        <f>F65+F65*P65</f>
        <v>0</v>
      </c>
      <c r="I65" s="940"/>
      <c r="J65" s="636">
        <f>H65+H65*Q65</f>
        <v>0</v>
      </c>
      <c r="K65" s="940"/>
      <c r="L65" s="636">
        <f>J65+J65*R65</f>
        <v>0</v>
      </c>
      <c r="M65" s="940"/>
      <c r="N65" s="57"/>
      <c r="O65" s="410">
        <v>0.03</v>
      </c>
      <c r="P65" s="410">
        <f>O65</f>
        <v>0.03</v>
      </c>
      <c r="Q65" s="410">
        <f t="shared" si="7"/>
        <v>0.03</v>
      </c>
      <c r="R65" s="410">
        <f t="shared" si="7"/>
        <v>0.03</v>
      </c>
      <c r="S65" s="331"/>
      <c r="T65" s="331"/>
      <c r="U65" s="331"/>
      <c r="V65" s="331"/>
      <c r="W65" s="331"/>
      <c r="X65" s="331"/>
      <c r="Y65" s="331"/>
      <c r="Z65" s="494"/>
      <c r="AA65" s="494"/>
      <c r="AB65" s="495"/>
    </row>
    <row r="66" spans="2:28" s="54" customFormat="1" ht="13.9" customHeight="1" x14ac:dyDescent="0.2">
      <c r="B66" s="251"/>
      <c r="C66" s="1113" t="s">
        <v>38</v>
      </c>
      <c r="D66" s="636">
        <v>0</v>
      </c>
      <c r="E66" s="940"/>
      <c r="F66" s="636">
        <f>D66+D66*O66</f>
        <v>0</v>
      </c>
      <c r="G66" s="940"/>
      <c r="H66" s="636">
        <f>F66+F66*P66</f>
        <v>0</v>
      </c>
      <c r="I66" s="940"/>
      <c r="J66" s="636">
        <f>H66+H66*Q66</f>
        <v>0</v>
      </c>
      <c r="K66" s="940"/>
      <c r="L66" s="636">
        <f>J66+J66*R66</f>
        <v>0</v>
      </c>
      <c r="M66" s="940"/>
      <c r="N66" s="57"/>
      <c r="O66" s="410">
        <v>0.03</v>
      </c>
      <c r="P66" s="410">
        <f>O66</f>
        <v>0.03</v>
      </c>
      <c r="Q66" s="410">
        <f t="shared" si="7"/>
        <v>0.03</v>
      </c>
      <c r="R66" s="410">
        <f t="shared" si="7"/>
        <v>0.03</v>
      </c>
      <c r="S66" s="331"/>
      <c r="T66" s="331"/>
      <c r="U66" s="331"/>
      <c r="V66" s="331"/>
      <c r="W66" s="331"/>
      <c r="X66" s="331"/>
      <c r="Y66" s="331"/>
      <c r="Z66" s="494"/>
      <c r="AA66" s="494"/>
      <c r="AB66" s="495"/>
    </row>
    <row r="67" spans="2:28" s="54" customFormat="1" ht="13.9" customHeight="1" x14ac:dyDescent="0.2">
      <c r="B67" s="251"/>
      <c r="C67" s="1113" t="s">
        <v>182</v>
      </c>
      <c r="D67" s="636">
        <v>0</v>
      </c>
      <c r="E67" s="940"/>
      <c r="F67" s="636">
        <f>D67+D67*O67</f>
        <v>0</v>
      </c>
      <c r="G67" s="940"/>
      <c r="H67" s="636">
        <f>F67+F67*P67</f>
        <v>0</v>
      </c>
      <c r="I67" s="940"/>
      <c r="J67" s="636">
        <f>H67+H67*Q67</f>
        <v>0</v>
      </c>
      <c r="K67" s="940"/>
      <c r="L67" s="636">
        <f>J67+J67*R67</f>
        <v>0</v>
      </c>
      <c r="M67" s="940"/>
      <c r="N67" s="57"/>
      <c r="O67" s="410">
        <v>0.03</v>
      </c>
      <c r="P67" s="410">
        <f>O67</f>
        <v>0.03</v>
      </c>
      <c r="Q67" s="410">
        <f t="shared" si="7"/>
        <v>0.03</v>
      </c>
      <c r="R67" s="410">
        <f t="shared" si="7"/>
        <v>0.03</v>
      </c>
      <c r="S67" s="331"/>
      <c r="T67" s="331"/>
      <c r="U67" s="331"/>
      <c r="V67" s="331"/>
      <c r="W67" s="331"/>
      <c r="X67" s="331"/>
      <c r="Y67" s="331"/>
      <c r="Z67" s="494"/>
      <c r="AA67" s="494"/>
      <c r="AB67" s="495"/>
    </row>
    <row r="68" spans="2:28" s="54" customFormat="1" ht="13.9" customHeight="1" thickBot="1" x14ac:dyDescent="0.25">
      <c r="B68" s="1126"/>
      <c r="C68" s="1118" t="s">
        <v>505</v>
      </c>
      <c r="D68" s="636">
        <v>0</v>
      </c>
      <c r="E68" s="956"/>
      <c r="F68" s="636">
        <f>D68+D68*O68</f>
        <v>0</v>
      </c>
      <c r="G68" s="956"/>
      <c r="H68" s="636">
        <f>F68+F68*P68</f>
        <v>0</v>
      </c>
      <c r="I68" s="956"/>
      <c r="J68" s="636">
        <f>H68+H68*Q68</f>
        <v>0</v>
      </c>
      <c r="K68" s="956"/>
      <c r="L68" s="636">
        <f>J68+J68*R68</f>
        <v>0</v>
      </c>
      <c r="M68" s="956"/>
      <c r="N68" s="57"/>
      <c r="O68" s="410">
        <v>0.03</v>
      </c>
      <c r="P68" s="410">
        <f>O68</f>
        <v>0.03</v>
      </c>
      <c r="Q68" s="410">
        <f t="shared" si="7"/>
        <v>0.03</v>
      </c>
      <c r="R68" s="410">
        <f t="shared" si="7"/>
        <v>0.03</v>
      </c>
      <c r="S68" s="496"/>
      <c r="T68" s="496"/>
      <c r="U68" s="496"/>
      <c r="V68" s="496"/>
      <c r="W68" s="496"/>
      <c r="X68" s="496"/>
      <c r="Y68" s="496"/>
      <c r="Z68" s="497"/>
      <c r="AA68" s="497"/>
      <c r="AB68" s="498"/>
    </row>
    <row r="69" spans="2:28" s="4" customFormat="1" ht="13.9" customHeight="1" x14ac:dyDescent="0.2">
      <c r="B69" s="447"/>
      <c r="C69" s="1116" t="s">
        <v>63</v>
      </c>
      <c r="D69" s="952">
        <f>SUM(D70:D73)</f>
        <v>0</v>
      </c>
      <c r="E69" s="953">
        <f>IF(D$45=0,0,100*D69/D$45)</f>
        <v>0</v>
      </c>
      <c r="F69" s="952">
        <f>SUM(F70:F73)</f>
        <v>0</v>
      </c>
      <c r="G69" s="953">
        <f>IF(F$45=0,0,100*F69/F$45)</f>
        <v>0</v>
      </c>
      <c r="H69" s="952">
        <f>SUM(H70:H73)</f>
        <v>0</v>
      </c>
      <c r="I69" s="953">
        <f>IF(H$45=0,0,100*H69/H$45)</f>
        <v>0</v>
      </c>
      <c r="J69" s="952">
        <f>SUM(J70:J73)</f>
        <v>0</v>
      </c>
      <c r="K69" s="953">
        <f>IF(J$45=0,0,100*J69/J$45)</f>
        <v>0</v>
      </c>
      <c r="L69" s="952">
        <f>SUM(L70:L73)</f>
        <v>0</v>
      </c>
      <c r="M69" s="953">
        <f>IF(L$45=0,0,100*L69/L$45)</f>
        <v>0</v>
      </c>
      <c r="N69" s="33"/>
      <c r="O69" s="446">
        <f>F$8</f>
        <v>2024</v>
      </c>
      <c r="P69" s="446">
        <f>H$8</f>
        <v>2025</v>
      </c>
      <c r="Q69" s="446">
        <f>J$8</f>
        <v>2026</v>
      </c>
      <c r="R69" s="446">
        <f>L$8</f>
        <v>2027</v>
      </c>
      <c r="S69" s="331"/>
      <c r="T69" s="331"/>
      <c r="U69" s="331"/>
      <c r="V69" s="331"/>
      <c r="W69" s="331"/>
      <c r="X69" s="331"/>
      <c r="Y69" s="331"/>
      <c r="Z69" s="494"/>
      <c r="AA69" s="494"/>
      <c r="AB69" s="495"/>
    </row>
    <row r="70" spans="2:28" s="54" customFormat="1" ht="13.9" customHeight="1" x14ac:dyDescent="0.2">
      <c r="B70" s="251"/>
      <c r="C70" s="1113" t="s">
        <v>325</v>
      </c>
      <c r="D70" s="636">
        <v>0</v>
      </c>
      <c r="E70" s="940"/>
      <c r="F70" s="636">
        <f>D70+D70*O70</f>
        <v>0</v>
      </c>
      <c r="G70" s="940"/>
      <c r="H70" s="636">
        <f>F70+F70*P70</f>
        <v>0</v>
      </c>
      <c r="I70" s="940"/>
      <c r="J70" s="636">
        <f>H70+H70*Q70</f>
        <v>0</v>
      </c>
      <c r="K70" s="940"/>
      <c r="L70" s="636">
        <f>J70+J70*R70</f>
        <v>0</v>
      </c>
      <c r="M70" s="940"/>
      <c r="N70" s="57"/>
      <c r="O70" s="410">
        <v>0.03</v>
      </c>
      <c r="P70" s="410">
        <f t="shared" ref="P70" si="8">O70</f>
        <v>0.03</v>
      </c>
      <c r="Q70" s="410">
        <f t="shared" ref="Q70:R73" si="9">P70</f>
        <v>0.03</v>
      </c>
      <c r="R70" s="410">
        <f t="shared" si="9"/>
        <v>0.03</v>
      </c>
      <c r="S70" s="331"/>
      <c r="T70" s="331"/>
      <c r="U70" s="331"/>
      <c r="V70" s="331"/>
      <c r="W70" s="331"/>
      <c r="X70" s="331"/>
      <c r="Y70" s="331"/>
      <c r="Z70" s="494"/>
      <c r="AA70" s="494"/>
      <c r="AB70" s="495"/>
    </row>
    <row r="71" spans="2:28" s="54" customFormat="1" ht="13.9" customHeight="1" x14ac:dyDescent="0.2">
      <c r="B71" s="251"/>
      <c r="C71" s="1113" t="s">
        <v>37</v>
      </c>
      <c r="D71" s="636">
        <v>0</v>
      </c>
      <c r="E71" s="940"/>
      <c r="F71" s="636">
        <f>D71+D71*O71</f>
        <v>0</v>
      </c>
      <c r="G71" s="940"/>
      <c r="H71" s="636">
        <f>F71+F71*P71</f>
        <v>0</v>
      </c>
      <c r="I71" s="940"/>
      <c r="J71" s="636">
        <f>H71+H71*Q71</f>
        <v>0</v>
      </c>
      <c r="K71" s="940"/>
      <c r="L71" s="636">
        <f>J71+J71*R71</f>
        <v>0</v>
      </c>
      <c r="M71" s="940"/>
      <c r="N71" s="57"/>
      <c r="O71" s="410">
        <v>0.03</v>
      </c>
      <c r="P71" s="410">
        <f>O71</f>
        <v>0.03</v>
      </c>
      <c r="Q71" s="410">
        <f t="shared" si="9"/>
        <v>0.03</v>
      </c>
      <c r="R71" s="410">
        <f t="shared" si="9"/>
        <v>0.03</v>
      </c>
      <c r="S71" s="331"/>
      <c r="T71" s="331"/>
      <c r="U71" s="331"/>
      <c r="V71" s="331"/>
      <c r="W71" s="331"/>
      <c r="X71" s="331"/>
      <c r="Y71" s="331"/>
      <c r="Z71" s="494"/>
      <c r="AA71" s="494"/>
      <c r="AB71" s="495"/>
    </row>
    <row r="72" spans="2:28" s="54" customFormat="1" ht="13.9" customHeight="1" x14ac:dyDescent="0.2">
      <c r="B72" s="251"/>
      <c r="C72" s="1113" t="s">
        <v>648</v>
      </c>
      <c r="D72" s="636">
        <v>0</v>
      </c>
      <c r="E72" s="940"/>
      <c r="F72" s="636">
        <f>D72+D72*O72</f>
        <v>0</v>
      </c>
      <c r="G72" s="940"/>
      <c r="H72" s="636">
        <f>F72+F72*P72</f>
        <v>0</v>
      </c>
      <c r="I72" s="940"/>
      <c r="J72" s="636">
        <f>H72+H72*Q72</f>
        <v>0</v>
      </c>
      <c r="K72" s="940"/>
      <c r="L72" s="636">
        <f>J72+J72*R72</f>
        <v>0</v>
      </c>
      <c r="M72" s="940"/>
      <c r="N72" s="57"/>
      <c r="O72" s="410">
        <v>0.03</v>
      </c>
      <c r="P72" s="410">
        <f>O72</f>
        <v>0.03</v>
      </c>
      <c r="Q72" s="410">
        <f t="shared" si="9"/>
        <v>0.03</v>
      </c>
      <c r="R72" s="410">
        <f t="shared" si="9"/>
        <v>0.03</v>
      </c>
      <c r="S72" s="331"/>
      <c r="T72" s="331"/>
      <c r="U72" s="331"/>
      <c r="V72" s="331"/>
      <c r="W72" s="331"/>
      <c r="X72" s="331"/>
      <c r="Y72" s="331"/>
      <c r="Z72" s="494"/>
      <c r="AA72" s="494"/>
      <c r="AB72" s="495"/>
    </row>
    <row r="73" spans="2:28" s="54" customFormat="1" ht="13.9" customHeight="1" thickBot="1" x14ac:dyDescent="0.25">
      <c r="B73" s="251"/>
      <c r="C73" s="1118" t="s">
        <v>516</v>
      </c>
      <c r="D73" s="636">
        <v>0</v>
      </c>
      <c r="E73" s="956"/>
      <c r="F73" s="636">
        <f>D73+D73*O73</f>
        <v>0</v>
      </c>
      <c r="G73" s="956"/>
      <c r="H73" s="636">
        <f>F73+F73*P73</f>
        <v>0</v>
      </c>
      <c r="I73" s="956"/>
      <c r="J73" s="630">
        <f>H73+H73*Q73</f>
        <v>0</v>
      </c>
      <c r="K73" s="956"/>
      <c r="L73" s="630">
        <f>J73+J73*R73</f>
        <v>0</v>
      </c>
      <c r="M73" s="956"/>
      <c r="N73" s="57"/>
      <c r="O73" s="410">
        <v>0.03</v>
      </c>
      <c r="P73" s="410">
        <f>O73</f>
        <v>0.03</v>
      </c>
      <c r="Q73" s="410">
        <f t="shared" si="9"/>
        <v>0.03</v>
      </c>
      <c r="R73" s="410">
        <f t="shared" si="9"/>
        <v>0.03</v>
      </c>
      <c r="S73" s="331"/>
      <c r="T73" s="331"/>
      <c r="U73" s="331"/>
      <c r="V73" s="331"/>
      <c r="W73" s="331"/>
      <c r="X73" s="331"/>
      <c r="Y73" s="331"/>
      <c r="Z73" s="494"/>
      <c r="AA73" s="494"/>
      <c r="AB73" s="495"/>
    </row>
    <row r="74" spans="2:28" s="4" customFormat="1" ht="13.9" customHeight="1" x14ac:dyDescent="0.2">
      <c r="B74" s="447"/>
      <c r="C74" s="1119" t="s">
        <v>506</v>
      </c>
      <c r="D74" s="952">
        <f>SUM(D75:D78)</f>
        <v>0</v>
      </c>
      <c r="E74" s="953">
        <f>IF(D$45=0,0,100*D74/D$45)</f>
        <v>0</v>
      </c>
      <c r="F74" s="952">
        <f>SUM(F75:F78)</f>
        <v>0</v>
      </c>
      <c r="G74" s="953">
        <f>IF(F$45=0,0,100*F74/F$45)</f>
        <v>0</v>
      </c>
      <c r="H74" s="952">
        <f>SUM(H75:H78)</f>
        <v>0</v>
      </c>
      <c r="I74" s="953">
        <f>IF(H$45=0,0,100*H74/H$45)</f>
        <v>0</v>
      </c>
      <c r="J74" s="952">
        <f>SUM(J75:J78)</f>
        <v>0</v>
      </c>
      <c r="K74" s="953">
        <f>IF(J$45=0,0,100*J74/J$45)</f>
        <v>0</v>
      </c>
      <c r="L74" s="952">
        <f>SUM(L75:L78)</f>
        <v>0</v>
      </c>
      <c r="M74" s="957">
        <f>IF(L$45=0,0,100*L74/L$45)</f>
        <v>0</v>
      </c>
      <c r="N74" s="33"/>
      <c r="O74" s="297">
        <f>F$8</f>
        <v>2024</v>
      </c>
      <c r="P74" s="297">
        <f>H$8</f>
        <v>2025</v>
      </c>
      <c r="Q74" s="297">
        <f>J$8</f>
        <v>2026</v>
      </c>
      <c r="R74" s="297">
        <f>L$8</f>
        <v>2027</v>
      </c>
      <c r="S74" s="331"/>
      <c r="T74" s="331"/>
      <c r="U74" s="331"/>
      <c r="V74" s="331"/>
      <c r="W74" s="331"/>
      <c r="X74" s="331"/>
      <c r="Y74" s="331"/>
      <c r="Z74" s="494"/>
      <c r="AA74" s="494"/>
      <c r="AB74" s="495"/>
    </row>
    <row r="75" spans="2:28" s="54" customFormat="1" ht="13.9" customHeight="1" x14ac:dyDescent="0.2">
      <c r="B75" s="251"/>
      <c r="C75" s="1113" t="s">
        <v>165</v>
      </c>
      <c r="D75" s="636">
        <v>0</v>
      </c>
      <c r="E75" s="940"/>
      <c r="F75" s="636">
        <f>D75+D75*O75</f>
        <v>0</v>
      </c>
      <c r="G75" s="940"/>
      <c r="H75" s="636">
        <f>F75+F75*P75</f>
        <v>0</v>
      </c>
      <c r="I75" s="940"/>
      <c r="J75" s="636">
        <f>H75+H75*Q75</f>
        <v>0</v>
      </c>
      <c r="K75" s="940"/>
      <c r="L75" s="636">
        <f>J75+J75*R75</f>
        <v>0</v>
      </c>
      <c r="M75" s="940"/>
      <c r="N75" s="57"/>
      <c r="O75" s="410">
        <v>0.03</v>
      </c>
      <c r="P75" s="410">
        <f t="shared" ref="P75" si="10">O75</f>
        <v>0.03</v>
      </c>
      <c r="Q75" s="410">
        <f t="shared" ref="Q75:R78" si="11">P75</f>
        <v>0.03</v>
      </c>
      <c r="R75" s="410">
        <f t="shared" si="11"/>
        <v>0.03</v>
      </c>
      <c r="S75" s="331"/>
      <c r="T75" s="331"/>
      <c r="U75" s="331"/>
      <c r="V75" s="331"/>
      <c r="W75" s="331"/>
      <c r="X75" s="331"/>
      <c r="Y75" s="331"/>
      <c r="Z75" s="494"/>
      <c r="AA75" s="494"/>
      <c r="AB75" s="495"/>
    </row>
    <row r="76" spans="2:28" s="54" customFormat="1" ht="13.9" customHeight="1" x14ac:dyDescent="0.2">
      <c r="B76" s="251"/>
      <c r="C76" s="1113" t="s">
        <v>38</v>
      </c>
      <c r="D76" s="636">
        <v>0</v>
      </c>
      <c r="E76" s="940"/>
      <c r="F76" s="636">
        <f>D76+D76*O76</f>
        <v>0</v>
      </c>
      <c r="G76" s="940"/>
      <c r="H76" s="636">
        <f>F76+F76*P76</f>
        <v>0</v>
      </c>
      <c r="I76" s="940"/>
      <c r="J76" s="636">
        <f>H76+H76*Q76</f>
        <v>0</v>
      </c>
      <c r="K76" s="940"/>
      <c r="L76" s="636">
        <f>J76+J76*R76</f>
        <v>0</v>
      </c>
      <c r="M76" s="940"/>
      <c r="N76" s="57"/>
      <c r="O76" s="410">
        <v>0.03</v>
      </c>
      <c r="P76" s="410">
        <f>O76</f>
        <v>0.03</v>
      </c>
      <c r="Q76" s="410">
        <f t="shared" si="11"/>
        <v>0.03</v>
      </c>
      <c r="R76" s="410">
        <f t="shared" si="11"/>
        <v>0.03</v>
      </c>
      <c r="S76" s="331"/>
      <c r="T76" s="331"/>
      <c r="U76" s="331"/>
      <c r="V76" s="331"/>
      <c r="W76" s="331"/>
      <c r="X76" s="331"/>
      <c r="Y76" s="331"/>
      <c r="Z76" s="494"/>
      <c r="AA76" s="494"/>
      <c r="AB76" s="495"/>
    </row>
    <row r="77" spans="2:28" s="54" customFormat="1" ht="13.9" customHeight="1" x14ac:dyDescent="0.2">
      <c r="B77" s="251"/>
      <c r="C77" s="1113" t="s">
        <v>649</v>
      </c>
      <c r="D77" s="636">
        <v>0</v>
      </c>
      <c r="E77" s="940"/>
      <c r="F77" s="636">
        <f>D77+D77*O77</f>
        <v>0</v>
      </c>
      <c r="G77" s="940"/>
      <c r="H77" s="636">
        <f>F77+F77*P77</f>
        <v>0</v>
      </c>
      <c r="I77" s="940"/>
      <c r="J77" s="636">
        <f>H77+H77*Q77</f>
        <v>0</v>
      </c>
      <c r="K77" s="940"/>
      <c r="L77" s="636">
        <f>J77+J77*R77</f>
        <v>0</v>
      </c>
      <c r="M77" s="940"/>
      <c r="N77" s="57"/>
      <c r="O77" s="410">
        <v>0.03</v>
      </c>
      <c r="P77" s="410">
        <f>O77</f>
        <v>0.03</v>
      </c>
      <c r="Q77" s="410">
        <f t="shared" si="11"/>
        <v>0.03</v>
      </c>
      <c r="R77" s="410">
        <f t="shared" si="11"/>
        <v>0.03</v>
      </c>
      <c r="S77" s="331"/>
      <c r="T77" s="331"/>
      <c r="U77" s="331"/>
      <c r="V77" s="331"/>
      <c r="W77" s="331"/>
      <c r="X77" s="331"/>
      <c r="Y77" s="331"/>
      <c r="Z77" s="494"/>
      <c r="AA77" s="494"/>
      <c r="AB77" s="495"/>
    </row>
    <row r="78" spans="2:28" s="54" customFormat="1" ht="13.9" customHeight="1" thickBot="1" x14ac:dyDescent="0.25">
      <c r="B78" s="251"/>
      <c r="C78" s="1118" t="s">
        <v>39</v>
      </c>
      <c r="D78" s="636">
        <v>0</v>
      </c>
      <c r="E78" s="956"/>
      <c r="F78" s="636">
        <f>D78+D78*O78</f>
        <v>0</v>
      </c>
      <c r="G78" s="956"/>
      <c r="H78" s="636">
        <f>F78+F78*P78</f>
        <v>0</v>
      </c>
      <c r="I78" s="956"/>
      <c r="J78" s="636">
        <f>H78+H78*Q78</f>
        <v>0</v>
      </c>
      <c r="K78" s="956"/>
      <c r="L78" s="636">
        <f>J78+J78*R78</f>
        <v>0</v>
      </c>
      <c r="M78" s="956"/>
      <c r="N78" s="57"/>
      <c r="O78" s="410">
        <v>0.03</v>
      </c>
      <c r="P78" s="410">
        <f>O78</f>
        <v>0.03</v>
      </c>
      <c r="Q78" s="410">
        <f t="shared" si="11"/>
        <v>0.03</v>
      </c>
      <c r="R78" s="410">
        <f t="shared" si="11"/>
        <v>0.03</v>
      </c>
      <c r="S78" s="331"/>
      <c r="T78" s="331"/>
      <c r="U78" s="331"/>
      <c r="V78" s="331"/>
      <c r="W78" s="331"/>
      <c r="X78" s="331"/>
      <c r="Y78" s="331"/>
      <c r="Z78" s="494"/>
      <c r="AA78" s="494"/>
      <c r="AB78" s="495"/>
    </row>
    <row r="79" spans="2:28" s="4" customFormat="1" ht="13.9" customHeight="1" x14ac:dyDescent="0.2">
      <c r="B79" s="447"/>
      <c r="C79" s="1116" t="s">
        <v>64</v>
      </c>
      <c r="D79" s="952">
        <f>SUM(D80:D82)</f>
        <v>0</v>
      </c>
      <c r="E79" s="953">
        <f>IF(D$45=0,0,100*D79/D$45)</f>
        <v>0</v>
      </c>
      <c r="F79" s="952">
        <f>SUM(F80:F82)</f>
        <v>0</v>
      </c>
      <c r="G79" s="953">
        <f>IF(F$45=0,0,100*F79/F$45)</f>
        <v>0</v>
      </c>
      <c r="H79" s="952">
        <f>SUM(H80:H82)</f>
        <v>0</v>
      </c>
      <c r="I79" s="953">
        <f>IF(H$45=0,0,100*H79/H$45)</f>
        <v>0</v>
      </c>
      <c r="J79" s="952">
        <f>SUM(J80:J82)</f>
        <v>0</v>
      </c>
      <c r="K79" s="953">
        <f>IF(J$45=0,0,100*J79/J$45)</f>
        <v>0</v>
      </c>
      <c r="L79" s="952">
        <f>SUM(L80:L82)</f>
        <v>0</v>
      </c>
      <c r="M79" s="953">
        <f>IF(L$45=0,0,100*L79/L$45)</f>
        <v>0</v>
      </c>
      <c r="N79" s="33"/>
      <c r="O79" s="297">
        <f>F$8</f>
        <v>2024</v>
      </c>
      <c r="P79" s="297">
        <f>H$8</f>
        <v>2025</v>
      </c>
      <c r="Q79" s="297">
        <f>J$8</f>
        <v>2026</v>
      </c>
      <c r="R79" s="297">
        <f>L$8</f>
        <v>2027</v>
      </c>
      <c r="S79" s="331"/>
      <c r="T79" s="331"/>
      <c r="U79" s="331"/>
      <c r="V79" s="331"/>
      <c r="W79" s="331"/>
      <c r="X79" s="331"/>
      <c r="Y79" s="331"/>
      <c r="Z79" s="494"/>
      <c r="AA79" s="494"/>
      <c r="AB79" s="495"/>
    </row>
    <row r="80" spans="2:28" s="54" customFormat="1" ht="13.9" customHeight="1" x14ac:dyDescent="0.2">
      <c r="B80" s="251"/>
      <c r="C80" s="1113" t="s">
        <v>40</v>
      </c>
      <c r="D80" s="636">
        <v>0</v>
      </c>
      <c r="E80" s="940"/>
      <c r="F80" s="636">
        <f>D80+D80*O80</f>
        <v>0</v>
      </c>
      <c r="G80" s="940"/>
      <c r="H80" s="636">
        <f>F80+F80*P80</f>
        <v>0</v>
      </c>
      <c r="I80" s="940"/>
      <c r="J80" s="636">
        <f>H80+H80*Q80</f>
        <v>0</v>
      </c>
      <c r="K80" s="940"/>
      <c r="L80" s="636">
        <f>J80+J80*R80</f>
        <v>0</v>
      </c>
      <c r="M80" s="940"/>
      <c r="N80" s="57"/>
      <c r="O80" s="410">
        <v>0.03</v>
      </c>
      <c r="P80" s="410">
        <f>O80</f>
        <v>0.03</v>
      </c>
      <c r="Q80" s="410">
        <f t="shared" ref="Q80:R82" si="12">P80</f>
        <v>0.03</v>
      </c>
      <c r="R80" s="410">
        <f t="shared" si="12"/>
        <v>0.03</v>
      </c>
      <c r="S80" s="331"/>
      <c r="T80" s="331"/>
      <c r="U80" s="331"/>
      <c r="V80" s="331"/>
      <c r="W80" s="331"/>
      <c r="X80" s="331"/>
      <c r="Y80" s="331"/>
      <c r="Z80" s="494"/>
      <c r="AA80" s="494"/>
      <c r="AB80" s="495"/>
    </row>
    <row r="81" spans="1:28" s="54" customFormat="1" ht="13.9" customHeight="1" x14ac:dyDescent="0.2">
      <c r="B81" s="251"/>
      <c r="C81" s="1113" t="s">
        <v>41</v>
      </c>
      <c r="D81" s="636">
        <v>0</v>
      </c>
      <c r="E81" s="940"/>
      <c r="F81" s="636">
        <f t="shared" ref="F81:F87" si="13">D81+D81*O81</f>
        <v>0</v>
      </c>
      <c r="G81" s="940"/>
      <c r="H81" s="636">
        <f>F81+F81*P81</f>
        <v>0</v>
      </c>
      <c r="I81" s="940"/>
      <c r="J81" s="636">
        <f>H81+H81*Q81</f>
        <v>0</v>
      </c>
      <c r="K81" s="940"/>
      <c r="L81" s="636">
        <f>J81+J81*R81</f>
        <v>0</v>
      </c>
      <c r="M81" s="940"/>
      <c r="N81" s="57"/>
      <c r="O81" s="410">
        <v>0.03</v>
      </c>
      <c r="P81" s="410">
        <f>O81</f>
        <v>0.03</v>
      </c>
      <c r="Q81" s="410">
        <f t="shared" si="12"/>
        <v>0.03</v>
      </c>
      <c r="R81" s="410">
        <f t="shared" si="12"/>
        <v>0.03</v>
      </c>
      <c r="S81" s="331"/>
      <c r="T81" s="331"/>
      <c r="U81" s="331"/>
      <c r="V81" s="331"/>
      <c r="W81" s="331"/>
      <c r="X81" s="331"/>
      <c r="Y81" s="331"/>
      <c r="Z81" s="494"/>
      <c r="AA81" s="494"/>
      <c r="AB81" s="495"/>
    </row>
    <row r="82" spans="1:28" s="54" customFormat="1" ht="13.9" customHeight="1" thickBot="1" x14ac:dyDescent="0.25">
      <c r="A82"/>
      <c r="B82" s="251"/>
      <c r="C82" s="1118" t="s">
        <v>42</v>
      </c>
      <c r="D82" s="630">
        <v>0</v>
      </c>
      <c r="E82" s="956"/>
      <c r="F82" s="630">
        <f t="shared" si="13"/>
        <v>0</v>
      </c>
      <c r="G82" s="956"/>
      <c r="H82" s="636">
        <f>F82+F82*P82</f>
        <v>0</v>
      </c>
      <c r="I82" s="956"/>
      <c r="J82" s="636">
        <f>H82+H82*Q82</f>
        <v>0</v>
      </c>
      <c r="K82" s="956"/>
      <c r="L82" s="636">
        <f>J82+J82*R82</f>
        <v>0</v>
      </c>
      <c r="M82" s="956"/>
      <c r="N82" s="57"/>
      <c r="O82" s="410">
        <v>0.03</v>
      </c>
      <c r="P82" s="410">
        <v>0.02</v>
      </c>
      <c r="Q82" s="410">
        <f t="shared" si="12"/>
        <v>0.02</v>
      </c>
      <c r="R82" s="410">
        <f t="shared" si="12"/>
        <v>0.02</v>
      </c>
      <c r="S82" s="331"/>
      <c r="T82" s="331"/>
      <c r="U82" s="331"/>
      <c r="V82" s="331"/>
      <c r="W82" s="331"/>
      <c r="X82" s="331"/>
      <c r="Y82" s="331"/>
      <c r="Z82" s="494"/>
      <c r="AA82" s="494"/>
      <c r="AB82" s="495"/>
    </row>
    <row r="83" spans="1:28" s="4" customFormat="1" ht="13.9" customHeight="1" x14ac:dyDescent="0.2">
      <c r="A83"/>
      <c r="B83" s="447"/>
      <c r="C83" s="1119" t="s">
        <v>65</v>
      </c>
      <c r="D83" s="952">
        <f>SUM(D84:D85)</f>
        <v>0</v>
      </c>
      <c r="E83" s="953">
        <f>IF(D$45=0,0,100*D83/D$45)</f>
        <v>0</v>
      </c>
      <c r="F83" s="952">
        <f>SUM(F84:F85)</f>
        <v>0</v>
      </c>
      <c r="G83" s="953">
        <f>IF(F$45=0,0,100*F83/F$45)</f>
        <v>0</v>
      </c>
      <c r="H83" s="952">
        <f>SUM(H84:H85)</f>
        <v>0</v>
      </c>
      <c r="I83" s="953">
        <f>IF(H$45=0,0,100*H83/H$45)</f>
        <v>0</v>
      </c>
      <c r="J83" s="952">
        <f>SUM(J84:J85)</f>
        <v>0</v>
      </c>
      <c r="K83" s="953">
        <f>IF(J$45=0,0,100*J83/J$45)</f>
        <v>0</v>
      </c>
      <c r="L83" s="952">
        <f>SUM(L84:L85)</f>
        <v>0</v>
      </c>
      <c r="M83" s="953">
        <f>IF(L$45=0,0,100*L83/L$45)</f>
        <v>0</v>
      </c>
      <c r="N83" s="33"/>
      <c r="O83" s="297">
        <f>F$8</f>
        <v>2024</v>
      </c>
      <c r="P83" s="297">
        <f>H$8</f>
        <v>2025</v>
      </c>
      <c r="Q83" s="297">
        <f>J$8</f>
        <v>2026</v>
      </c>
      <c r="R83" s="297">
        <f>L$8</f>
        <v>2027</v>
      </c>
      <c r="S83" s="331"/>
      <c r="T83" s="331"/>
      <c r="U83" s="331"/>
      <c r="V83" s="331"/>
      <c r="W83" s="331"/>
      <c r="X83" s="331"/>
      <c r="Y83" s="331"/>
      <c r="Z83" s="494"/>
      <c r="AA83" s="494"/>
      <c r="AB83" s="495"/>
    </row>
    <row r="84" spans="1:28" s="54" customFormat="1" ht="13.9" customHeight="1" x14ac:dyDescent="0.2">
      <c r="A84"/>
      <c r="B84" s="251"/>
      <c r="C84" s="1113" t="s">
        <v>366</v>
      </c>
      <c r="D84" s="636">
        <v>0</v>
      </c>
      <c r="E84" s="940"/>
      <c r="F84" s="636">
        <f>D84+D84*O84</f>
        <v>0</v>
      </c>
      <c r="G84" s="940"/>
      <c r="H84" s="636">
        <f>F84+F84*P84</f>
        <v>0</v>
      </c>
      <c r="I84" s="940"/>
      <c r="J84" s="636">
        <f>H84+H84*Q84</f>
        <v>0</v>
      </c>
      <c r="K84" s="940"/>
      <c r="L84" s="636">
        <f>J84+J84*R84</f>
        <v>0</v>
      </c>
      <c r="M84" s="940"/>
      <c r="N84" s="57"/>
      <c r="O84" s="410">
        <v>0.03</v>
      </c>
      <c r="P84" s="410">
        <f>O84</f>
        <v>0.03</v>
      </c>
      <c r="Q84" s="410">
        <f t="shared" ref="Q84:R87" si="14">P84</f>
        <v>0.03</v>
      </c>
      <c r="R84" s="410">
        <f t="shared" si="14"/>
        <v>0.03</v>
      </c>
      <c r="S84" s="331"/>
      <c r="T84" s="331"/>
      <c r="U84" s="331"/>
      <c r="V84" s="331"/>
      <c r="W84" s="331"/>
      <c r="X84" s="331"/>
      <c r="Y84" s="331"/>
      <c r="Z84" s="494"/>
      <c r="AA84" s="494"/>
      <c r="AB84" s="495"/>
    </row>
    <row r="85" spans="1:28" s="54" customFormat="1" ht="13.9" customHeight="1" thickBot="1" x14ac:dyDescent="0.25">
      <c r="A85" s="55"/>
      <c r="B85" s="251"/>
      <c r="C85" s="1117" t="s">
        <v>43</v>
      </c>
      <c r="D85" s="955">
        <v>0</v>
      </c>
      <c r="E85" s="954"/>
      <c r="F85" s="955">
        <f t="shared" si="13"/>
        <v>0</v>
      </c>
      <c r="G85" s="954"/>
      <c r="H85" s="636">
        <f>F85+F85*P85</f>
        <v>0</v>
      </c>
      <c r="I85" s="954"/>
      <c r="J85" s="955">
        <f>H85+H85*Q85</f>
        <v>0</v>
      </c>
      <c r="K85" s="954"/>
      <c r="L85" s="955">
        <f>J85+J85*R85</f>
        <v>0</v>
      </c>
      <c r="M85" s="956"/>
      <c r="N85" s="57"/>
      <c r="O85" s="410">
        <v>0.03</v>
      </c>
      <c r="P85" s="410">
        <f t="shared" ref="P85" si="15">O85</f>
        <v>0.03</v>
      </c>
      <c r="Q85" s="410">
        <f t="shared" si="14"/>
        <v>0.03</v>
      </c>
      <c r="R85" s="410">
        <f t="shared" si="14"/>
        <v>0.03</v>
      </c>
      <c r="S85" s="331"/>
      <c r="T85" s="331"/>
      <c r="U85" s="331"/>
      <c r="V85" s="331"/>
      <c r="W85" s="331"/>
      <c r="X85" s="331"/>
      <c r="Y85" s="331"/>
      <c r="Z85" s="494"/>
      <c r="AA85" s="494"/>
      <c r="AB85" s="495"/>
    </row>
    <row r="86" spans="1:28" s="4" customFormat="1" ht="13.9" customHeight="1" thickBot="1" x14ac:dyDescent="0.25">
      <c r="A86"/>
      <c r="B86" s="447"/>
      <c r="C86" s="1120" t="s">
        <v>66</v>
      </c>
      <c r="D86" s="960">
        <v>0</v>
      </c>
      <c r="E86" s="959">
        <f>IF(D$45=0,0,100*D86/D$45)</f>
        <v>0</v>
      </c>
      <c r="F86" s="958">
        <f>D86+D86*O86</f>
        <v>0</v>
      </c>
      <c r="G86" s="959">
        <f>IF(F$45=0,0,100*F86/F$45)</f>
        <v>0</v>
      </c>
      <c r="H86" s="960">
        <f>F86+F86*P86</f>
        <v>0</v>
      </c>
      <c r="I86" s="959">
        <f>IF(H$45=0,0,100*H86/H$45)</f>
        <v>0</v>
      </c>
      <c r="J86" s="960">
        <f>H86+H86*Q86</f>
        <v>0</v>
      </c>
      <c r="K86" s="959">
        <f>IF(J$45=0,0,100*J86/J$45)</f>
        <v>0</v>
      </c>
      <c r="L86" s="958">
        <f>J86+J86*R86</f>
        <v>0</v>
      </c>
      <c r="M86" s="961">
        <f>IF(L$45=0,0,100*L86/L$45)</f>
        <v>0</v>
      </c>
      <c r="N86" s="33"/>
      <c r="O86" s="410">
        <v>0.03</v>
      </c>
      <c r="P86" s="410">
        <f>O86</f>
        <v>0.03</v>
      </c>
      <c r="Q86" s="410">
        <f t="shared" si="14"/>
        <v>0.03</v>
      </c>
      <c r="R86" s="410">
        <f t="shared" si="14"/>
        <v>0.03</v>
      </c>
      <c r="S86" s="331"/>
      <c r="T86" s="331"/>
      <c r="U86" s="331"/>
      <c r="V86" s="331"/>
      <c r="W86" s="331"/>
      <c r="X86" s="331"/>
      <c r="Y86" s="331"/>
      <c r="Z86" s="494"/>
      <c r="AA86" s="494"/>
      <c r="AB86" s="495"/>
    </row>
    <row r="87" spans="1:28" s="4" customFormat="1" ht="13.9" customHeight="1" thickBot="1" x14ac:dyDescent="0.25">
      <c r="A87" s="55"/>
      <c r="B87" s="447"/>
      <c r="C87" s="1119" t="s">
        <v>197</v>
      </c>
      <c r="D87" s="958">
        <v>0</v>
      </c>
      <c r="E87" s="961">
        <f>IF(D$45=0,0,100*D87/D$45)</f>
        <v>0</v>
      </c>
      <c r="F87" s="958">
        <f t="shared" si="13"/>
        <v>0</v>
      </c>
      <c r="G87" s="961">
        <f>IF(F$45=0,0,100*F87/F$45)</f>
        <v>0</v>
      </c>
      <c r="H87" s="958">
        <f>F87+F87*P87</f>
        <v>0</v>
      </c>
      <c r="I87" s="961">
        <f>IF(H$45=0,0,100*H87/H$45)</f>
        <v>0</v>
      </c>
      <c r="J87" s="958">
        <f>H87+H87*Q87</f>
        <v>0</v>
      </c>
      <c r="K87" s="961">
        <f>IF(J$45=0,0,100*J87/J$45)</f>
        <v>0</v>
      </c>
      <c r="L87" s="958">
        <f>J87+J87*R87</f>
        <v>0</v>
      </c>
      <c r="M87" s="953">
        <f>IF(L$45=0,0,100*L87/L$45)</f>
        <v>0</v>
      </c>
      <c r="N87" s="33"/>
      <c r="O87" s="410">
        <v>0.03</v>
      </c>
      <c r="P87" s="410">
        <f>O87</f>
        <v>0.03</v>
      </c>
      <c r="Q87" s="410">
        <f t="shared" si="14"/>
        <v>0.03</v>
      </c>
      <c r="R87" s="410">
        <f t="shared" si="14"/>
        <v>0.03</v>
      </c>
      <c r="S87" s="331"/>
      <c r="T87" s="331"/>
      <c r="U87" s="331"/>
      <c r="V87" s="331"/>
      <c r="W87" s="331"/>
      <c r="X87" s="331"/>
      <c r="Y87" s="331"/>
      <c r="Z87" s="494"/>
      <c r="AA87" s="494"/>
      <c r="AB87" s="495"/>
    </row>
    <row r="88" spans="1:28" s="4" customFormat="1" ht="13.9" customHeight="1" x14ac:dyDescent="0.2">
      <c r="A88" s="2"/>
      <c r="B88" s="447"/>
      <c r="C88" s="1116" t="s">
        <v>67</v>
      </c>
      <c r="D88" s="962">
        <f>SUM(D89:D93)</f>
        <v>0</v>
      </c>
      <c r="E88" s="963">
        <f>IF(D$45=0,0,100*D88/D$45)</f>
        <v>0</v>
      </c>
      <c r="F88" s="962">
        <f>SUM(F89:F93)</f>
        <v>0</v>
      </c>
      <c r="G88" s="963">
        <f>IF(F$45=0,0,100*F88/F$45)</f>
        <v>0</v>
      </c>
      <c r="H88" s="962">
        <f>SUM(H89:H93)</f>
        <v>0</v>
      </c>
      <c r="I88" s="963">
        <f>IF(H$45=0,0,100*H88/H$45)</f>
        <v>0</v>
      </c>
      <c r="J88" s="962">
        <f>SUM(J89:J93)</f>
        <v>0</v>
      </c>
      <c r="K88" s="963">
        <f>IF(J$45=0,0,100*J88/J$45)</f>
        <v>0</v>
      </c>
      <c r="L88" s="962">
        <f>SUM(L89:L93)</f>
        <v>0</v>
      </c>
      <c r="M88" s="953">
        <f>IF(L$45=0,0,100*L88/L$45)</f>
        <v>0</v>
      </c>
      <c r="N88" s="32"/>
      <c r="O88" s="297">
        <f>F$8</f>
        <v>2024</v>
      </c>
      <c r="P88" s="297">
        <f>H$8</f>
        <v>2025</v>
      </c>
      <c r="Q88" s="297">
        <f>J$8</f>
        <v>2026</v>
      </c>
      <c r="R88" s="297">
        <f>L$8</f>
        <v>2027</v>
      </c>
      <c r="S88" s="331"/>
      <c r="T88" s="331"/>
      <c r="U88" s="331"/>
      <c r="V88" s="331"/>
      <c r="W88" s="331"/>
      <c r="X88" s="331"/>
      <c r="Y88" s="331"/>
      <c r="Z88" s="494"/>
      <c r="AA88" s="494"/>
      <c r="AB88" s="495"/>
    </row>
    <row r="89" spans="1:28" s="54" customFormat="1" ht="13.9" customHeight="1" x14ac:dyDescent="0.2">
      <c r="A89"/>
      <c r="B89" s="251"/>
      <c r="C89" s="1113" t="s">
        <v>44</v>
      </c>
      <c r="D89" s="636">
        <v>0</v>
      </c>
      <c r="E89" s="940"/>
      <c r="F89" s="636">
        <f>D89+D89*O89</f>
        <v>0</v>
      </c>
      <c r="G89" s="940"/>
      <c r="H89" s="636">
        <f>F89+F89*P89</f>
        <v>0</v>
      </c>
      <c r="I89" s="940"/>
      <c r="J89" s="636">
        <f>H89+H89*Q89</f>
        <v>0</v>
      </c>
      <c r="K89" s="940"/>
      <c r="L89" s="636">
        <f>J89+J89*R89</f>
        <v>0</v>
      </c>
      <c r="M89" s="940"/>
      <c r="N89" s="59"/>
      <c r="O89" s="410">
        <v>0.03</v>
      </c>
      <c r="P89" s="410">
        <f>O89</f>
        <v>0.03</v>
      </c>
      <c r="Q89" s="410">
        <f t="shared" ref="Q89:R93" si="16">P89</f>
        <v>0.03</v>
      </c>
      <c r="R89" s="410">
        <f t="shared" si="16"/>
        <v>0.03</v>
      </c>
      <c r="S89" s="331"/>
      <c r="T89" s="331"/>
      <c r="U89" s="331"/>
      <c r="V89" s="331"/>
      <c r="W89" s="331"/>
      <c r="X89" s="331"/>
      <c r="Y89" s="331"/>
      <c r="Z89" s="494"/>
      <c r="AA89" s="494"/>
      <c r="AB89" s="495"/>
    </row>
    <row r="90" spans="1:28" s="54" customFormat="1" ht="13.9" customHeight="1" x14ac:dyDescent="0.2">
      <c r="A90"/>
      <c r="B90" s="251"/>
      <c r="C90" s="1113" t="s">
        <v>45</v>
      </c>
      <c r="D90" s="636">
        <v>0</v>
      </c>
      <c r="E90" s="940"/>
      <c r="F90" s="636">
        <f>D90+D90*O90</f>
        <v>0</v>
      </c>
      <c r="G90" s="940"/>
      <c r="H90" s="636">
        <f>F90+F90*P90</f>
        <v>0</v>
      </c>
      <c r="I90" s="940"/>
      <c r="J90" s="636">
        <f>H90+H90*Q90</f>
        <v>0</v>
      </c>
      <c r="K90" s="940"/>
      <c r="L90" s="636">
        <f>J90+J90*R90</f>
        <v>0</v>
      </c>
      <c r="M90" s="940"/>
      <c r="N90" s="59"/>
      <c r="O90" s="410">
        <v>0.03</v>
      </c>
      <c r="P90" s="410">
        <f>O90</f>
        <v>0.03</v>
      </c>
      <c r="Q90" s="410">
        <f t="shared" si="16"/>
        <v>0.03</v>
      </c>
      <c r="R90" s="410">
        <f t="shared" si="16"/>
        <v>0.03</v>
      </c>
      <c r="S90" s="331"/>
      <c r="T90" s="331"/>
      <c r="U90" s="331"/>
      <c r="V90" s="331"/>
      <c r="W90" s="331"/>
      <c r="X90" s="331"/>
      <c r="Y90" s="331"/>
      <c r="Z90" s="494"/>
      <c r="AA90" s="494"/>
      <c r="AB90" s="495"/>
    </row>
    <row r="91" spans="1:28" s="54" customFormat="1" ht="13.9" customHeight="1" x14ac:dyDescent="0.2">
      <c r="A91"/>
      <c r="B91" s="251"/>
      <c r="C91" s="1113" t="s">
        <v>517</v>
      </c>
      <c r="D91" s="636">
        <v>0</v>
      </c>
      <c r="E91" s="940"/>
      <c r="F91" s="636">
        <f>D91+D91*O91</f>
        <v>0</v>
      </c>
      <c r="G91" s="940"/>
      <c r="H91" s="636">
        <f>F91+F91*P91</f>
        <v>0</v>
      </c>
      <c r="I91" s="940"/>
      <c r="J91" s="636">
        <f>H91+H91*Q91</f>
        <v>0</v>
      </c>
      <c r="K91" s="940"/>
      <c r="L91" s="636">
        <f>J91+J91*R91</f>
        <v>0</v>
      </c>
      <c r="M91" s="940"/>
      <c r="N91" s="59"/>
      <c r="O91" s="410">
        <v>0.03</v>
      </c>
      <c r="P91" s="410">
        <f>O91</f>
        <v>0.03</v>
      </c>
      <c r="Q91" s="410">
        <f t="shared" si="16"/>
        <v>0.03</v>
      </c>
      <c r="R91" s="410">
        <f t="shared" si="16"/>
        <v>0.03</v>
      </c>
      <c r="S91" s="331"/>
      <c r="T91" s="331"/>
      <c r="U91" s="331"/>
      <c r="V91" s="331"/>
      <c r="W91" s="331"/>
      <c r="X91" s="331"/>
      <c r="Y91" s="331"/>
      <c r="Z91" s="494"/>
      <c r="AA91" s="494"/>
      <c r="AB91" s="495"/>
    </row>
    <row r="92" spans="1:28" s="54" customFormat="1" ht="13.9" customHeight="1" x14ac:dyDescent="0.2">
      <c r="A92"/>
      <c r="B92" s="251"/>
      <c r="C92" s="1113" t="s">
        <v>367</v>
      </c>
      <c r="D92" s="636">
        <v>0</v>
      </c>
      <c r="E92" s="940"/>
      <c r="F92" s="636">
        <f>D92+D92*O92</f>
        <v>0</v>
      </c>
      <c r="G92" s="940"/>
      <c r="H92" s="636">
        <f>F92+F92*P92</f>
        <v>0</v>
      </c>
      <c r="I92" s="940"/>
      <c r="J92" s="636">
        <f>H92+H92*Q92</f>
        <v>0</v>
      </c>
      <c r="K92" s="940"/>
      <c r="L92" s="636">
        <f>J92+J92*R92</f>
        <v>0</v>
      </c>
      <c r="M92" s="940"/>
      <c r="N92" s="59"/>
      <c r="O92" s="410">
        <v>0.03</v>
      </c>
      <c r="P92" s="410">
        <f>O92</f>
        <v>0.03</v>
      </c>
      <c r="Q92" s="410">
        <f t="shared" si="16"/>
        <v>0.03</v>
      </c>
      <c r="R92" s="410">
        <f t="shared" si="16"/>
        <v>0.03</v>
      </c>
      <c r="S92" s="331"/>
      <c r="T92" s="331"/>
      <c r="U92" s="331"/>
      <c r="V92" s="331"/>
      <c r="W92" s="331"/>
      <c r="X92" s="331"/>
      <c r="Y92" s="331"/>
      <c r="Z92" s="494"/>
      <c r="AA92" s="494"/>
      <c r="AB92" s="495"/>
    </row>
    <row r="93" spans="1:28" s="54" customFormat="1" ht="13.9" customHeight="1" thickBot="1" x14ac:dyDescent="0.25">
      <c r="A93"/>
      <c r="B93" s="251"/>
      <c r="C93" s="1118" t="s">
        <v>46</v>
      </c>
      <c r="D93" s="636">
        <v>0</v>
      </c>
      <c r="E93" s="954"/>
      <c r="F93" s="636">
        <f>D93+D93*O93</f>
        <v>0</v>
      </c>
      <c r="G93" s="954"/>
      <c r="H93" s="636">
        <f>F93+F93*P93</f>
        <v>0</v>
      </c>
      <c r="I93" s="954"/>
      <c r="J93" s="955">
        <f>H93+H93*Q93</f>
        <v>0</v>
      </c>
      <c r="K93" s="954"/>
      <c r="L93" s="955">
        <f>J93+J93*R93</f>
        <v>0</v>
      </c>
      <c r="M93" s="954"/>
      <c r="N93" s="59"/>
      <c r="O93" s="410">
        <v>0.03</v>
      </c>
      <c r="P93" s="410">
        <f t="shared" ref="P93" si="17">O93</f>
        <v>0.03</v>
      </c>
      <c r="Q93" s="410">
        <f t="shared" si="16"/>
        <v>0.03</v>
      </c>
      <c r="R93" s="410">
        <f t="shared" si="16"/>
        <v>0.03</v>
      </c>
      <c r="S93" s="331"/>
      <c r="T93" s="331"/>
      <c r="U93" s="331"/>
      <c r="V93" s="331"/>
      <c r="W93" s="331"/>
      <c r="X93" s="331"/>
      <c r="Y93" s="331"/>
      <c r="Z93" s="494"/>
      <c r="AA93" s="494"/>
      <c r="AB93" s="495"/>
    </row>
    <row r="94" spans="1:28" s="4" customFormat="1" ht="13.9" customHeight="1" x14ac:dyDescent="0.2">
      <c r="A94"/>
      <c r="B94" s="447"/>
      <c r="C94" s="1119" t="s">
        <v>68</v>
      </c>
      <c r="D94" s="952">
        <f>SUM(D95:D98)</f>
        <v>0</v>
      </c>
      <c r="E94" s="953">
        <f>IF(D$45=0,0,100*D94/D$45)</f>
        <v>0</v>
      </c>
      <c r="F94" s="952">
        <f>SUM(F95:F98)</f>
        <v>0</v>
      </c>
      <c r="G94" s="953">
        <f>IF(F$45=0,0,100*F94/F$45)</f>
        <v>0</v>
      </c>
      <c r="H94" s="952">
        <f>SUM(H95:H98)</f>
        <v>0</v>
      </c>
      <c r="I94" s="953">
        <f>IF(H$45=0,0,100*H94/H$45)</f>
        <v>0</v>
      </c>
      <c r="J94" s="952">
        <f>SUM(J95:J98)</f>
        <v>0</v>
      </c>
      <c r="K94" s="953">
        <f>IF(J$45=0,0,100*J94/J$45)</f>
        <v>0</v>
      </c>
      <c r="L94" s="952">
        <f>SUM(L95:L98)</f>
        <v>0</v>
      </c>
      <c r="M94" s="953">
        <f>IF(L$45=0,0,100*L94/L$45)</f>
        <v>0</v>
      </c>
      <c r="N94" s="33"/>
      <c r="O94" s="297">
        <f>F$8</f>
        <v>2024</v>
      </c>
      <c r="P94" s="297">
        <f>H$8</f>
        <v>2025</v>
      </c>
      <c r="Q94" s="297">
        <f>J$8</f>
        <v>2026</v>
      </c>
      <c r="R94" s="297">
        <f>L$8</f>
        <v>2027</v>
      </c>
      <c r="S94" s="331"/>
      <c r="T94" s="331"/>
      <c r="U94" s="331"/>
      <c r="V94" s="331"/>
      <c r="W94" s="331"/>
      <c r="X94" s="331"/>
      <c r="Y94" s="331"/>
      <c r="Z94" s="494"/>
      <c r="AA94" s="494"/>
      <c r="AB94" s="495"/>
    </row>
    <row r="95" spans="1:28" s="54" customFormat="1" ht="13.9" customHeight="1" x14ac:dyDescent="0.2">
      <c r="A95"/>
      <c r="B95" s="251"/>
      <c r="C95" s="1113" t="s">
        <v>47</v>
      </c>
      <c r="D95" s="636">
        <v>0</v>
      </c>
      <c r="E95" s="940"/>
      <c r="F95" s="636">
        <f>D95+D95*O95</f>
        <v>0</v>
      </c>
      <c r="G95" s="940"/>
      <c r="H95" s="636">
        <f>F95+F95*P95</f>
        <v>0</v>
      </c>
      <c r="I95" s="940"/>
      <c r="J95" s="636">
        <f>H95+H95*Q95</f>
        <v>0</v>
      </c>
      <c r="K95" s="940"/>
      <c r="L95" s="636">
        <f>J95+J95*R95</f>
        <v>0</v>
      </c>
      <c r="M95" s="940"/>
      <c r="N95" s="57"/>
      <c r="O95" s="410">
        <v>0.03</v>
      </c>
      <c r="P95" s="410">
        <f>O95</f>
        <v>0.03</v>
      </c>
      <c r="Q95" s="410">
        <f t="shared" ref="Q95:R98" si="18">P95</f>
        <v>0.03</v>
      </c>
      <c r="R95" s="410">
        <f t="shared" si="18"/>
        <v>0.03</v>
      </c>
      <c r="S95" s="331"/>
      <c r="T95" s="331"/>
      <c r="U95" s="331"/>
      <c r="V95" s="331"/>
      <c r="W95" s="331"/>
      <c r="X95" s="331"/>
      <c r="Y95" s="331"/>
      <c r="Z95" s="494"/>
      <c r="AA95" s="494"/>
      <c r="AB95" s="495"/>
    </row>
    <row r="96" spans="1:28" s="54" customFormat="1" ht="13.9" customHeight="1" x14ac:dyDescent="0.2">
      <c r="A96"/>
      <c r="B96" s="251"/>
      <c r="C96" s="1113" t="s">
        <v>48</v>
      </c>
      <c r="D96" s="636">
        <v>0</v>
      </c>
      <c r="E96" s="940"/>
      <c r="F96" s="636">
        <f>D96+D96*O96</f>
        <v>0</v>
      </c>
      <c r="G96" s="940"/>
      <c r="H96" s="636">
        <f>F96+F96*P96</f>
        <v>0</v>
      </c>
      <c r="I96" s="940"/>
      <c r="J96" s="636">
        <f>H96+H96*Q96</f>
        <v>0</v>
      </c>
      <c r="K96" s="940"/>
      <c r="L96" s="636">
        <f>J96+J96*R96</f>
        <v>0</v>
      </c>
      <c r="M96" s="940"/>
      <c r="N96" s="57"/>
      <c r="O96" s="410">
        <v>0.03</v>
      </c>
      <c r="P96" s="410">
        <f>O96</f>
        <v>0.03</v>
      </c>
      <c r="Q96" s="410">
        <f t="shared" si="18"/>
        <v>0.03</v>
      </c>
      <c r="R96" s="410">
        <f t="shared" si="18"/>
        <v>0.03</v>
      </c>
      <c r="S96" s="331"/>
      <c r="T96" s="331"/>
      <c r="U96" s="331"/>
      <c r="V96" s="331"/>
      <c r="W96" s="331"/>
      <c r="X96" s="331"/>
      <c r="Y96" s="331"/>
      <c r="Z96" s="494"/>
      <c r="AA96" s="494"/>
      <c r="AB96" s="495"/>
    </row>
    <row r="97" spans="1:28" s="54" customFormat="1" ht="13.9" customHeight="1" x14ac:dyDescent="0.2">
      <c r="A97"/>
      <c r="B97" s="251"/>
      <c r="C97" s="1113" t="s">
        <v>49</v>
      </c>
      <c r="D97" s="636">
        <v>0</v>
      </c>
      <c r="E97" s="940"/>
      <c r="F97" s="636">
        <f>D97+D97*O97</f>
        <v>0</v>
      </c>
      <c r="G97" s="940"/>
      <c r="H97" s="636">
        <f>F97+F97*P97</f>
        <v>0</v>
      </c>
      <c r="I97" s="940"/>
      <c r="J97" s="636">
        <f>H97+H97*Q97</f>
        <v>0</v>
      </c>
      <c r="K97" s="940"/>
      <c r="L97" s="636">
        <f>J97+J97*R97</f>
        <v>0</v>
      </c>
      <c r="M97" s="940"/>
      <c r="N97" s="59"/>
      <c r="O97" s="410">
        <v>0.03</v>
      </c>
      <c r="P97" s="410">
        <f>O97</f>
        <v>0.03</v>
      </c>
      <c r="Q97" s="410">
        <f t="shared" si="18"/>
        <v>0.03</v>
      </c>
      <c r="R97" s="410">
        <f t="shared" si="18"/>
        <v>0.03</v>
      </c>
      <c r="S97" s="331"/>
      <c r="T97" s="331"/>
      <c r="U97" s="331"/>
      <c r="V97" s="331"/>
      <c r="W97" s="331"/>
      <c r="X97" s="331"/>
      <c r="Y97" s="331"/>
      <c r="Z97" s="494"/>
      <c r="AA97" s="494"/>
      <c r="AB97" s="495"/>
    </row>
    <row r="98" spans="1:28" s="54" customFormat="1" ht="13.9" customHeight="1" thickBot="1" x14ac:dyDescent="0.25">
      <c r="A98"/>
      <c r="B98" s="251"/>
      <c r="C98" s="51" t="s">
        <v>50</v>
      </c>
      <c r="D98" s="621">
        <v>0</v>
      </c>
      <c r="E98" s="964"/>
      <c r="F98" s="636">
        <f>D98+D98*O98</f>
        <v>0</v>
      </c>
      <c r="G98" s="964"/>
      <c r="H98" s="636">
        <f>F98+F98*P98</f>
        <v>0</v>
      </c>
      <c r="I98" s="964"/>
      <c r="J98" s="636">
        <f>H98+H98*Q98</f>
        <v>0</v>
      </c>
      <c r="K98" s="964"/>
      <c r="L98" s="636">
        <f>J98+J98*R98</f>
        <v>0</v>
      </c>
      <c r="M98" s="964"/>
      <c r="N98" s="59"/>
      <c r="O98" s="410">
        <v>0.03</v>
      </c>
      <c r="P98" s="410">
        <f>O98</f>
        <v>0.03</v>
      </c>
      <c r="Q98" s="410">
        <f t="shared" si="18"/>
        <v>0.03</v>
      </c>
      <c r="R98" s="410">
        <f t="shared" si="18"/>
        <v>0.03</v>
      </c>
      <c r="S98" s="331"/>
      <c r="T98" s="331"/>
      <c r="U98" s="331"/>
      <c r="V98" s="331"/>
      <c r="W98" s="331"/>
      <c r="X98" s="331"/>
      <c r="Y98" s="331"/>
      <c r="Z98" s="494"/>
      <c r="AA98" s="494"/>
      <c r="AB98" s="495"/>
    </row>
    <row r="99" spans="1:28" s="4" customFormat="1" ht="13.9" customHeight="1" x14ac:dyDescent="0.2">
      <c r="A99"/>
      <c r="B99" s="447"/>
      <c r="C99" s="1116" t="s">
        <v>69</v>
      </c>
      <c r="D99" s="952">
        <f>SUM(D100:D103)</f>
        <v>0</v>
      </c>
      <c r="E99" s="953">
        <f>IF(D$45=0,0,100*D99/D$45)</f>
        <v>0</v>
      </c>
      <c r="F99" s="952">
        <f>SUM(F100:F103)</f>
        <v>0</v>
      </c>
      <c r="G99" s="953">
        <f>IF(F$45=0,0,100*F99/F$45)</f>
        <v>0</v>
      </c>
      <c r="H99" s="952">
        <f>SUM(H100:H103)</f>
        <v>0</v>
      </c>
      <c r="I99" s="953">
        <f>IF(H$45=0,0,100*H99/H$45)</f>
        <v>0</v>
      </c>
      <c r="J99" s="952">
        <f>SUM(J100:J103)</f>
        <v>0</v>
      </c>
      <c r="K99" s="953">
        <f>IF(J$45=0,0,100*J99/J$45)</f>
        <v>0</v>
      </c>
      <c r="L99" s="952">
        <f>SUM(L100:L103)</f>
        <v>0</v>
      </c>
      <c r="M99" s="953">
        <f>IF(L$45=0,0,100*L99/L$45)</f>
        <v>0</v>
      </c>
      <c r="N99" s="32"/>
      <c r="O99" s="297">
        <f>F$8</f>
        <v>2024</v>
      </c>
      <c r="P99" s="297">
        <f>H$8</f>
        <v>2025</v>
      </c>
      <c r="Q99" s="297">
        <f>J$8</f>
        <v>2026</v>
      </c>
      <c r="R99" s="297">
        <f>L$8</f>
        <v>2027</v>
      </c>
      <c r="S99" s="331"/>
      <c r="T99" s="331"/>
      <c r="U99" s="331"/>
      <c r="V99" s="331"/>
      <c r="W99" s="331"/>
      <c r="X99" s="331"/>
      <c r="Y99" s="331"/>
      <c r="Z99" s="494"/>
      <c r="AA99" s="494"/>
      <c r="AB99" s="495"/>
    </row>
    <row r="100" spans="1:28" s="54" customFormat="1" ht="13.9" customHeight="1" x14ac:dyDescent="0.2">
      <c r="A100"/>
      <c r="B100" s="251"/>
      <c r="C100" s="1113" t="s">
        <v>51</v>
      </c>
      <c r="D100" s="636">
        <v>0</v>
      </c>
      <c r="E100" s="940"/>
      <c r="F100" s="636">
        <f>D100+D100*O100</f>
        <v>0</v>
      </c>
      <c r="G100" s="940"/>
      <c r="H100" s="636">
        <f>F100+F100*P100</f>
        <v>0</v>
      </c>
      <c r="I100" s="940"/>
      <c r="J100" s="636">
        <f>H100+H100*Q100</f>
        <v>0</v>
      </c>
      <c r="K100" s="940"/>
      <c r="L100" s="636">
        <f>J100+J100*R100</f>
        <v>0</v>
      </c>
      <c r="M100" s="940"/>
      <c r="N100" s="59"/>
      <c r="O100" s="410">
        <v>0.03</v>
      </c>
      <c r="P100" s="410">
        <f>O100</f>
        <v>0.03</v>
      </c>
      <c r="Q100" s="410">
        <f t="shared" ref="Q100:R103" si="19">P100</f>
        <v>0.03</v>
      </c>
      <c r="R100" s="410">
        <f t="shared" si="19"/>
        <v>0.03</v>
      </c>
      <c r="S100" s="331"/>
      <c r="T100" s="331"/>
      <c r="U100" s="331"/>
      <c r="V100" s="331"/>
      <c r="W100" s="331"/>
      <c r="X100" s="331"/>
      <c r="Y100" s="331"/>
      <c r="Z100" s="494"/>
      <c r="AA100" s="494"/>
      <c r="AB100" s="495"/>
    </row>
    <row r="101" spans="1:28" s="54" customFormat="1" ht="13.9" customHeight="1" x14ac:dyDescent="0.2">
      <c r="A101"/>
      <c r="B101" s="251"/>
      <c r="C101" s="1113" t="s">
        <v>52</v>
      </c>
      <c r="D101" s="636">
        <v>0</v>
      </c>
      <c r="E101" s="940"/>
      <c r="F101" s="636">
        <f>D101+D101*O101</f>
        <v>0</v>
      </c>
      <c r="G101" s="940"/>
      <c r="H101" s="636">
        <f>F101+F101*P101</f>
        <v>0</v>
      </c>
      <c r="I101" s="940"/>
      <c r="J101" s="636">
        <f>H101+H101*Q101</f>
        <v>0</v>
      </c>
      <c r="K101" s="940"/>
      <c r="L101" s="636">
        <f>J101+J101*R101</f>
        <v>0</v>
      </c>
      <c r="M101" s="940"/>
      <c r="N101" s="59"/>
      <c r="O101" s="410">
        <v>0.03</v>
      </c>
      <c r="P101" s="410">
        <f t="shared" ref="P101" si="20">O101</f>
        <v>0.03</v>
      </c>
      <c r="Q101" s="410">
        <f t="shared" si="19"/>
        <v>0.03</v>
      </c>
      <c r="R101" s="410">
        <f t="shared" si="19"/>
        <v>0.03</v>
      </c>
      <c r="S101" s="331"/>
      <c r="T101" s="331"/>
      <c r="U101" s="331"/>
      <c r="V101" s="331"/>
      <c r="W101" s="331"/>
      <c r="X101" s="331"/>
      <c r="Y101" s="331"/>
      <c r="Z101" s="494"/>
      <c r="AA101" s="494"/>
      <c r="AB101" s="495"/>
    </row>
    <row r="102" spans="1:28" s="54" customFormat="1" ht="13.9" customHeight="1" x14ac:dyDescent="0.2">
      <c r="A102"/>
      <c r="B102" s="251"/>
      <c r="C102" s="1113" t="s">
        <v>53</v>
      </c>
      <c r="D102" s="636">
        <v>0</v>
      </c>
      <c r="E102" s="940"/>
      <c r="F102" s="636">
        <f>D102+D102*O102</f>
        <v>0</v>
      </c>
      <c r="G102" s="940"/>
      <c r="H102" s="636">
        <f>F102+F102*P102</f>
        <v>0</v>
      </c>
      <c r="I102" s="940"/>
      <c r="J102" s="636">
        <f>H102+H102*Q102</f>
        <v>0</v>
      </c>
      <c r="K102" s="940"/>
      <c r="L102" s="636">
        <f>J102+J102*R102</f>
        <v>0</v>
      </c>
      <c r="M102" s="940"/>
      <c r="N102" s="59"/>
      <c r="O102" s="410">
        <v>0.03</v>
      </c>
      <c r="P102" s="410">
        <f>O102</f>
        <v>0.03</v>
      </c>
      <c r="Q102" s="410">
        <f t="shared" si="19"/>
        <v>0.03</v>
      </c>
      <c r="R102" s="410">
        <f t="shared" si="19"/>
        <v>0.03</v>
      </c>
      <c r="S102" s="331"/>
      <c r="T102" s="331"/>
      <c r="U102" s="331"/>
      <c r="V102" s="331"/>
      <c r="W102" s="331"/>
      <c r="X102" s="331"/>
      <c r="Y102" s="331"/>
      <c r="Z102" s="494"/>
      <c r="AA102" s="494"/>
      <c r="AB102" s="495"/>
    </row>
    <row r="103" spans="1:28" s="54" customFormat="1" ht="13.9" customHeight="1" thickBot="1" x14ac:dyDescent="0.25">
      <c r="A103"/>
      <c r="B103" s="251"/>
      <c r="C103" s="1117" t="s">
        <v>183</v>
      </c>
      <c r="D103" s="955">
        <v>0</v>
      </c>
      <c r="E103" s="954"/>
      <c r="F103" s="636">
        <f>D103+D103*O103</f>
        <v>0</v>
      </c>
      <c r="G103" s="954"/>
      <c r="H103" s="636">
        <f>F103+F103*P103</f>
        <v>0</v>
      </c>
      <c r="I103" s="954"/>
      <c r="J103" s="636">
        <f>H103+H103*Q103</f>
        <v>0</v>
      </c>
      <c r="K103" s="954"/>
      <c r="L103" s="636">
        <f>J103+J103*R103</f>
        <v>0</v>
      </c>
      <c r="M103" s="954"/>
      <c r="N103" s="59"/>
      <c r="O103" s="410">
        <v>0.03</v>
      </c>
      <c r="P103" s="410">
        <f t="shared" ref="P103" si="21">O103</f>
        <v>0.03</v>
      </c>
      <c r="Q103" s="410">
        <f t="shared" si="19"/>
        <v>0.03</v>
      </c>
      <c r="R103" s="410">
        <f t="shared" si="19"/>
        <v>0.03</v>
      </c>
      <c r="S103" s="331"/>
      <c r="T103" s="331"/>
      <c r="U103" s="331"/>
      <c r="V103" s="331"/>
      <c r="W103" s="331"/>
      <c r="X103" s="331"/>
      <c r="Y103" s="331"/>
      <c r="Z103" s="494"/>
      <c r="AA103" s="494"/>
      <c r="AB103" s="495"/>
    </row>
    <row r="104" spans="1:28" s="4" customFormat="1" ht="13.9" customHeight="1" x14ac:dyDescent="0.2">
      <c r="A104"/>
      <c r="B104" s="447"/>
      <c r="C104" s="1116" t="s">
        <v>324</v>
      </c>
      <c r="D104" s="952">
        <f>SUM(D105:D106)</f>
        <v>0</v>
      </c>
      <c r="E104" s="953">
        <f>IF(D$45=0,0,100*D104/D$45)</f>
        <v>0</v>
      </c>
      <c r="F104" s="952">
        <f>SUM(F105:F106)</f>
        <v>0</v>
      </c>
      <c r="G104" s="953">
        <f>IF(F$45=0,0,100*F104/F$45)</f>
        <v>0</v>
      </c>
      <c r="H104" s="952">
        <f>SUM(H105:H106)</f>
        <v>0</v>
      </c>
      <c r="I104" s="953">
        <f>IF(H$45=0,0,100*H104/H$45)</f>
        <v>0</v>
      </c>
      <c r="J104" s="952">
        <f>SUM(J105:J106)</f>
        <v>0</v>
      </c>
      <c r="K104" s="953">
        <f>IF(J$45=0,0,100*J104/J$45)</f>
        <v>0</v>
      </c>
      <c r="L104" s="952">
        <f>SUM(L105:L106)</f>
        <v>0</v>
      </c>
      <c r="M104" s="953">
        <f>IF(L$45=0,0,100*L104/L$45)</f>
        <v>0</v>
      </c>
      <c r="N104" s="32"/>
      <c r="O104" s="297">
        <f>F$8</f>
        <v>2024</v>
      </c>
      <c r="P104" s="297">
        <f>H$8</f>
        <v>2025</v>
      </c>
      <c r="Q104" s="297">
        <f>J$8</f>
        <v>2026</v>
      </c>
      <c r="R104" s="297">
        <f>L$8</f>
        <v>2027</v>
      </c>
      <c r="S104" s="331"/>
      <c r="T104" s="331"/>
      <c r="U104" s="331"/>
      <c r="V104" s="331"/>
      <c r="W104" s="331"/>
      <c r="X104" s="331"/>
      <c r="Y104" s="331"/>
      <c r="Z104" s="494"/>
      <c r="AA104" s="494"/>
      <c r="AB104" s="495"/>
    </row>
    <row r="105" spans="1:28" s="54" customFormat="1" ht="13.9" customHeight="1" x14ac:dyDescent="0.2">
      <c r="A105"/>
      <c r="B105" s="251"/>
      <c r="C105" s="1113" t="s">
        <v>54</v>
      </c>
      <c r="D105" s="636">
        <v>0</v>
      </c>
      <c r="E105" s="940"/>
      <c r="F105" s="636">
        <f>D105+D105*O105</f>
        <v>0</v>
      </c>
      <c r="G105" s="940"/>
      <c r="H105" s="636">
        <f>F105+F105*P105</f>
        <v>0</v>
      </c>
      <c r="I105" s="940"/>
      <c r="J105" s="636">
        <f>H105+H105*Q105</f>
        <v>0</v>
      </c>
      <c r="K105" s="940"/>
      <c r="L105" s="636">
        <f>J105+J105*R105</f>
        <v>0</v>
      </c>
      <c r="M105" s="940"/>
      <c r="N105" s="59"/>
      <c r="O105" s="410">
        <v>0.03</v>
      </c>
      <c r="P105" s="410">
        <f t="shared" ref="P105:R106" si="22">O105</f>
        <v>0.03</v>
      </c>
      <c r="Q105" s="410">
        <f t="shared" si="22"/>
        <v>0.03</v>
      </c>
      <c r="R105" s="410">
        <f t="shared" si="22"/>
        <v>0.03</v>
      </c>
      <c r="S105" s="331"/>
      <c r="T105" s="331"/>
      <c r="U105" s="331"/>
      <c r="V105" s="331"/>
      <c r="W105" s="331"/>
      <c r="X105" s="331"/>
      <c r="Y105" s="331"/>
      <c r="Z105" s="494"/>
      <c r="AA105" s="494"/>
      <c r="AB105" s="495"/>
    </row>
    <row r="106" spans="1:28" s="54" customFormat="1" ht="13.9" customHeight="1" thickBot="1" x14ac:dyDescent="0.25">
      <c r="A106"/>
      <c r="B106" s="251"/>
      <c r="C106" s="1118" t="s">
        <v>15</v>
      </c>
      <c r="D106" s="630">
        <v>0</v>
      </c>
      <c r="E106" s="956"/>
      <c r="F106" s="636">
        <f>D106+D106*O106</f>
        <v>0</v>
      </c>
      <c r="G106" s="956"/>
      <c r="H106" s="636">
        <f>F106+F106*P106</f>
        <v>0</v>
      </c>
      <c r="I106" s="956"/>
      <c r="J106" s="636">
        <f>H106+H106*Q106</f>
        <v>0</v>
      </c>
      <c r="K106" s="956"/>
      <c r="L106" s="636">
        <f>J106+J106*R106</f>
        <v>0</v>
      </c>
      <c r="M106" s="956"/>
      <c r="N106" s="59"/>
      <c r="O106" s="410">
        <v>0.03</v>
      </c>
      <c r="P106" s="410">
        <f t="shared" si="22"/>
        <v>0.03</v>
      </c>
      <c r="Q106" s="410">
        <f t="shared" si="22"/>
        <v>0.03</v>
      </c>
      <c r="R106" s="410">
        <f t="shared" si="22"/>
        <v>0.03</v>
      </c>
      <c r="S106" s="331"/>
      <c r="T106" s="331"/>
      <c r="U106" s="331"/>
      <c r="V106" s="331"/>
      <c r="W106" s="331"/>
      <c r="X106" s="331"/>
      <c r="Y106" s="331"/>
      <c r="Z106" s="494"/>
      <c r="AA106" s="494"/>
      <c r="AB106" s="495"/>
    </row>
    <row r="107" spans="1:28" s="4" customFormat="1" ht="13.9" customHeight="1" x14ac:dyDescent="0.2">
      <c r="A107"/>
      <c r="B107" s="447"/>
      <c r="C107" s="1116" t="s">
        <v>70</v>
      </c>
      <c r="D107" s="952">
        <f>SUM(D108:D111)</f>
        <v>0</v>
      </c>
      <c r="E107" s="953">
        <f>IF(D$45=0,0,100*D107/D$45)</f>
        <v>0</v>
      </c>
      <c r="F107" s="952">
        <f>SUM(F108:F111)</f>
        <v>0</v>
      </c>
      <c r="G107" s="953">
        <f>IF(F$45=0,0,100*F107/F$45)</f>
        <v>0</v>
      </c>
      <c r="H107" s="952">
        <f>SUM(H108:H111)</f>
        <v>0</v>
      </c>
      <c r="I107" s="953">
        <f>IF(H$45=0,0,100*H107/H$45)</f>
        <v>0</v>
      </c>
      <c r="J107" s="952">
        <f>SUM(J108:J111)</f>
        <v>0</v>
      </c>
      <c r="K107" s="953">
        <f>IF(J$45=0,0,100*J107/J$45)</f>
        <v>0</v>
      </c>
      <c r="L107" s="952">
        <f>SUM(L108:L111)</f>
        <v>0</v>
      </c>
      <c r="M107" s="953">
        <f>IF(L$45=0,0,100*L107/L$45)</f>
        <v>0</v>
      </c>
      <c r="N107" s="32"/>
      <c r="O107" s="297">
        <f>F$8</f>
        <v>2024</v>
      </c>
      <c r="P107" s="297">
        <f>H$8</f>
        <v>2025</v>
      </c>
      <c r="Q107" s="297">
        <f>J$8</f>
        <v>2026</v>
      </c>
      <c r="R107" s="297">
        <f>L$8</f>
        <v>2027</v>
      </c>
      <c r="S107" s="331"/>
      <c r="T107" s="331"/>
      <c r="U107" s="331"/>
      <c r="V107" s="331"/>
      <c r="W107" s="331"/>
      <c r="X107" s="331"/>
      <c r="Y107" s="331"/>
      <c r="Z107" s="494"/>
      <c r="AA107" s="494"/>
      <c r="AB107" s="495"/>
    </row>
    <row r="108" spans="1:28" s="54" customFormat="1" ht="13.9" customHeight="1" x14ac:dyDescent="0.2">
      <c r="A108"/>
      <c r="B108" s="251"/>
      <c r="C108" s="1113" t="s">
        <v>55</v>
      </c>
      <c r="D108" s="636">
        <v>0</v>
      </c>
      <c r="E108" s="940"/>
      <c r="F108" s="636">
        <f>D108+D108*O108</f>
        <v>0</v>
      </c>
      <c r="G108" s="940"/>
      <c r="H108" s="636">
        <f>F108+F108*P108</f>
        <v>0</v>
      </c>
      <c r="I108" s="940"/>
      <c r="J108" s="636">
        <f>H108+H108*Q108</f>
        <v>0</v>
      </c>
      <c r="K108" s="940"/>
      <c r="L108" s="636">
        <f>J108+J108*R108</f>
        <v>0</v>
      </c>
      <c r="M108" s="940"/>
      <c r="N108" s="57"/>
      <c r="O108" s="410">
        <v>0.03</v>
      </c>
      <c r="P108" s="410">
        <f>O108</f>
        <v>0.03</v>
      </c>
      <c r="Q108" s="410">
        <f t="shared" ref="Q108:R111" si="23">P108</f>
        <v>0.03</v>
      </c>
      <c r="R108" s="410">
        <f t="shared" si="23"/>
        <v>0.03</v>
      </c>
      <c r="S108" s="331"/>
      <c r="T108" s="331"/>
      <c r="U108" s="331"/>
      <c r="V108" s="331"/>
      <c r="W108" s="331"/>
      <c r="X108" s="331"/>
      <c r="Y108" s="331"/>
      <c r="Z108" s="494"/>
      <c r="AA108" s="494"/>
      <c r="AB108" s="495"/>
    </row>
    <row r="109" spans="1:28" s="54" customFormat="1" ht="13.9" customHeight="1" x14ac:dyDescent="0.2">
      <c r="A109" s="55"/>
      <c r="B109" s="251"/>
      <c r="C109" s="1113" t="s">
        <v>56</v>
      </c>
      <c r="D109" s="636">
        <v>0</v>
      </c>
      <c r="E109" s="940"/>
      <c r="F109" s="636">
        <f>D109+D109*O109</f>
        <v>0</v>
      </c>
      <c r="G109" s="940"/>
      <c r="H109" s="636">
        <f>F109+F109*P109</f>
        <v>0</v>
      </c>
      <c r="I109" s="940"/>
      <c r="J109" s="636">
        <f>H109+H109*Q109</f>
        <v>0</v>
      </c>
      <c r="K109" s="940"/>
      <c r="L109" s="636">
        <f>J109+J109*R109</f>
        <v>0</v>
      </c>
      <c r="M109" s="940"/>
      <c r="N109" s="57"/>
      <c r="O109" s="410">
        <v>0.03</v>
      </c>
      <c r="P109" s="410">
        <f>O109</f>
        <v>0.03</v>
      </c>
      <c r="Q109" s="410">
        <f t="shared" si="23"/>
        <v>0.03</v>
      </c>
      <c r="R109" s="410">
        <f t="shared" si="23"/>
        <v>0.03</v>
      </c>
      <c r="S109" s="331"/>
      <c r="T109" s="331"/>
      <c r="U109" s="331"/>
      <c r="V109" s="331"/>
      <c r="W109" s="331"/>
      <c r="X109" s="331"/>
      <c r="Y109" s="331"/>
      <c r="Z109" s="494"/>
      <c r="AA109" s="494"/>
      <c r="AB109" s="495"/>
    </row>
    <row r="110" spans="1:28" s="54" customFormat="1" ht="13.9" customHeight="1" x14ac:dyDescent="0.2">
      <c r="A110" s="2"/>
      <c r="B110" s="251"/>
      <c r="C110" s="1113" t="s">
        <v>57</v>
      </c>
      <c r="D110" s="636">
        <v>0</v>
      </c>
      <c r="E110" s="940"/>
      <c r="F110" s="636">
        <f>D110+D110*O110</f>
        <v>0</v>
      </c>
      <c r="G110" s="940"/>
      <c r="H110" s="636">
        <f>F110+F110*P110</f>
        <v>0</v>
      </c>
      <c r="I110" s="940"/>
      <c r="J110" s="636">
        <f>H110+H110*Q110</f>
        <v>0</v>
      </c>
      <c r="K110" s="940"/>
      <c r="L110" s="636">
        <f>J110+J110*R110</f>
        <v>0</v>
      </c>
      <c r="M110" s="940"/>
      <c r="N110" s="59"/>
      <c r="O110" s="410">
        <v>0.03</v>
      </c>
      <c r="P110" s="410">
        <f>O110</f>
        <v>0.03</v>
      </c>
      <c r="Q110" s="410">
        <f t="shared" si="23"/>
        <v>0.03</v>
      </c>
      <c r="R110" s="410">
        <f t="shared" si="23"/>
        <v>0.03</v>
      </c>
      <c r="S110" s="331"/>
      <c r="T110" s="331"/>
      <c r="U110" s="331"/>
      <c r="V110" s="331"/>
      <c r="W110" s="331"/>
      <c r="X110" s="331"/>
      <c r="Y110" s="331"/>
      <c r="Z110" s="494"/>
      <c r="AA110" s="494"/>
      <c r="AB110" s="495"/>
    </row>
    <row r="111" spans="1:28" s="54" customFormat="1" ht="13.9" customHeight="1" thickBot="1" x14ac:dyDescent="0.25">
      <c r="A111"/>
      <c r="B111" s="251"/>
      <c r="C111" s="1118" t="s">
        <v>58</v>
      </c>
      <c r="D111" s="636">
        <v>0</v>
      </c>
      <c r="E111" s="954"/>
      <c r="F111" s="636">
        <f>D111+D111*O111</f>
        <v>0</v>
      </c>
      <c r="G111" s="954"/>
      <c r="H111" s="636">
        <f>F111+F111*P111</f>
        <v>0</v>
      </c>
      <c r="I111" s="954"/>
      <c r="J111" s="955">
        <f>H111+H111*Q111</f>
        <v>0</v>
      </c>
      <c r="K111" s="954"/>
      <c r="L111" s="955">
        <f>J111+J111*R111</f>
        <v>0</v>
      </c>
      <c r="M111" s="954"/>
      <c r="N111" s="59"/>
      <c r="O111" s="410">
        <v>0.03</v>
      </c>
      <c r="P111" s="410">
        <f>O111</f>
        <v>0.03</v>
      </c>
      <c r="Q111" s="410">
        <f t="shared" si="23"/>
        <v>0.03</v>
      </c>
      <c r="R111" s="410">
        <f t="shared" si="23"/>
        <v>0.03</v>
      </c>
      <c r="S111" s="331"/>
      <c r="T111" s="331"/>
      <c r="U111" s="331"/>
      <c r="V111" s="331"/>
      <c r="W111" s="331"/>
      <c r="X111" s="331"/>
      <c r="Y111" s="331"/>
      <c r="Z111" s="494"/>
      <c r="AA111" s="494"/>
      <c r="AB111" s="495"/>
    </row>
    <row r="112" spans="1:28" s="4" customFormat="1" ht="13.9" customHeight="1" x14ac:dyDescent="0.2">
      <c r="A112"/>
      <c r="B112" s="447"/>
      <c r="C112" s="1119" t="s">
        <v>510</v>
      </c>
      <c r="D112" s="965">
        <f>SUM(D113:D115)</f>
        <v>0</v>
      </c>
      <c r="E112" s="953">
        <f>IF(D$45=0,0,100*D112/D$45)</f>
        <v>0</v>
      </c>
      <c r="F112" s="965">
        <f>SUM(F113:F115)</f>
        <v>0</v>
      </c>
      <c r="G112" s="953">
        <f>IF(F$45=0,0,100*F112/F$45)</f>
        <v>0</v>
      </c>
      <c r="H112" s="965">
        <f>SUM(H113:H115)</f>
        <v>0</v>
      </c>
      <c r="I112" s="953">
        <f>IF(H$45=0,0,100*H112/H$45)</f>
        <v>0</v>
      </c>
      <c r="J112" s="965">
        <f>SUM(J113:J115)</f>
        <v>0</v>
      </c>
      <c r="K112" s="953">
        <f>IF(J$45=0,0,100*J112/J$45)</f>
        <v>0</v>
      </c>
      <c r="L112" s="965">
        <f>SUM(L113:L115)</f>
        <v>0</v>
      </c>
      <c r="M112" s="953">
        <f>IF(L$45=0,0,100*L112/L$45)</f>
        <v>0</v>
      </c>
      <c r="N112" s="32"/>
      <c r="O112" s="297">
        <f>F$8</f>
        <v>2024</v>
      </c>
      <c r="P112" s="297">
        <f>H$8</f>
        <v>2025</v>
      </c>
      <c r="Q112" s="297">
        <f>J$8</f>
        <v>2026</v>
      </c>
      <c r="R112" s="297">
        <f>L$8</f>
        <v>2027</v>
      </c>
      <c r="S112" s="331"/>
      <c r="T112" s="331"/>
      <c r="U112" s="331"/>
      <c r="V112" s="331"/>
      <c r="W112" s="331"/>
      <c r="X112" s="331"/>
      <c r="Y112" s="331"/>
      <c r="Z112" s="494"/>
      <c r="AA112" s="494"/>
      <c r="AB112" s="495"/>
    </row>
    <row r="113" spans="1:28" s="54" customFormat="1" ht="13.9" customHeight="1" x14ac:dyDescent="0.2">
      <c r="A113"/>
      <c r="B113" s="251"/>
      <c r="C113" s="1113" t="s">
        <v>511</v>
      </c>
      <c r="D113" s="636">
        <v>0</v>
      </c>
      <c r="E113" s="940"/>
      <c r="F113" s="636">
        <f>D113+D113*O113</f>
        <v>0</v>
      </c>
      <c r="G113" s="940"/>
      <c r="H113" s="636">
        <f t="shared" ref="H113:H123" si="24">F113+F113*P113</f>
        <v>0</v>
      </c>
      <c r="I113" s="940"/>
      <c r="J113" s="636">
        <f>H113+H113*Q113</f>
        <v>0</v>
      </c>
      <c r="K113" s="940"/>
      <c r="L113" s="636">
        <f t="shared" ref="L113:L123" si="25">J113+J113*R113</f>
        <v>0</v>
      </c>
      <c r="M113" s="940"/>
      <c r="N113" s="57"/>
      <c r="O113" s="410">
        <v>0.03</v>
      </c>
      <c r="P113" s="410">
        <f t="shared" ref="P113:P121" si="26">O113</f>
        <v>0.03</v>
      </c>
      <c r="Q113" s="410">
        <f t="shared" ref="Q113:R121" si="27">P113</f>
        <v>0.03</v>
      </c>
      <c r="R113" s="410">
        <f t="shared" si="27"/>
        <v>0.03</v>
      </c>
      <c r="S113" s="331"/>
      <c r="T113" s="331"/>
      <c r="U113" s="331"/>
      <c r="V113" s="331"/>
      <c r="W113" s="331"/>
      <c r="X113" s="331"/>
      <c r="Y113" s="494"/>
      <c r="Z113" s="494"/>
      <c r="AA113" s="331"/>
      <c r="AB113" s="495"/>
    </row>
    <row r="114" spans="1:28" s="54" customFormat="1" ht="13.9" customHeight="1" x14ac:dyDescent="0.2">
      <c r="A114"/>
      <c r="B114" s="251"/>
      <c r="C114" s="1113" t="s">
        <v>184</v>
      </c>
      <c r="D114" s="636">
        <v>0</v>
      </c>
      <c r="E114" s="940"/>
      <c r="F114" s="636">
        <f t="shared" ref="F114:F123" si="28">D114+D114*O114</f>
        <v>0</v>
      </c>
      <c r="G114" s="940"/>
      <c r="H114" s="636">
        <f t="shared" si="24"/>
        <v>0</v>
      </c>
      <c r="I114" s="940"/>
      <c r="J114" s="636">
        <f t="shared" ref="J114:J123" si="29">H114+H114*Q114</f>
        <v>0</v>
      </c>
      <c r="K114" s="940"/>
      <c r="L114" s="636">
        <f t="shared" si="25"/>
        <v>0</v>
      </c>
      <c r="M114" s="940"/>
      <c r="N114" s="57"/>
      <c r="O114" s="410">
        <v>0.03</v>
      </c>
      <c r="P114" s="410">
        <f t="shared" si="26"/>
        <v>0.03</v>
      </c>
      <c r="Q114" s="410">
        <f t="shared" si="27"/>
        <v>0.03</v>
      </c>
      <c r="R114" s="410">
        <f t="shared" si="27"/>
        <v>0.03</v>
      </c>
      <c r="S114" s="331"/>
      <c r="T114" s="331"/>
      <c r="U114" s="331"/>
      <c r="V114" s="494"/>
      <c r="W114" s="494"/>
      <c r="X114" s="494"/>
      <c r="Y114" s="494"/>
      <c r="Z114" s="331"/>
      <c r="AA114" s="331"/>
      <c r="AB114" s="495"/>
    </row>
    <row r="115" spans="1:28" s="54" customFormat="1" ht="13.9" customHeight="1" thickBot="1" x14ac:dyDescent="0.25">
      <c r="B115" s="251"/>
      <c r="C115" s="1117" t="s">
        <v>59</v>
      </c>
      <c r="D115" s="955">
        <v>0</v>
      </c>
      <c r="E115" s="954"/>
      <c r="F115" s="636">
        <f t="shared" si="28"/>
        <v>0</v>
      </c>
      <c r="G115" s="954"/>
      <c r="H115" s="955">
        <f t="shared" si="24"/>
        <v>0</v>
      </c>
      <c r="I115" s="954"/>
      <c r="J115" s="955">
        <f t="shared" si="29"/>
        <v>0</v>
      </c>
      <c r="K115" s="954"/>
      <c r="L115" s="955">
        <f t="shared" si="25"/>
        <v>0</v>
      </c>
      <c r="M115" s="954"/>
      <c r="N115" s="59"/>
      <c r="O115" s="410">
        <v>0.03</v>
      </c>
      <c r="P115" s="410">
        <f t="shared" si="26"/>
        <v>0.03</v>
      </c>
      <c r="Q115" s="410">
        <f t="shared" si="27"/>
        <v>0.03</v>
      </c>
      <c r="R115" s="410">
        <f t="shared" si="27"/>
        <v>0.03</v>
      </c>
      <c r="S115" s="331"/>
      <c r="T115" s="331"/>
      <c r="U115" s="331"/>
      <c r="V115" s="494"/>
      <c r="W115" s="494"/>
      <c r="X115" s="494"/>
      <c r="Y115" s="494"/>
      <c r="Z115" s="494"/>
      <c r="AA115" s="494"/>
      <c r="AB115" s="499"/>
    </row>
    <row r="116" spans="1:28" s="4" customFormat="1" ht="13.9" customHeight="1" thickBot="1" x14ac:dyDescent="0.25">
      <c r="B116" s="447"/>
      <c r="C116" s="1120" t="s">
        <v>71</v>
      </c>
      <c r="D116" s="958">
        <v>0</v>
      </c>
      <c r="E116" s="961">
        <f>IF(D$45=0,0,100*D116/D$45)</f>
        <v>0</v>
      </c>
      <c r="F116" s="958">
        <f>D116+D116*O116</f>
        <v>0</v>
      </c>
      <c r="G116" s="961">
        <f>IF(F$45=0,0,100*F116/F$45)</f>
        <v>0</v>
      </c>
      <c r="H116" s="958">
        <f t="shared" si="24"/>
        <v>0</v>
      </c>
      <c r="I116" s="961">
        <f>IF(H$45=0,0,100*H116/H$45)</f>
        <v>0</v>
      </c>
      <c r="J116" s="958">
        <f t="shared" si="29"/>
        <v>0</v>
      </c>
      <c r="K116" s="953">
        <f>IF(J$45=0,0,100*J116/J$45)</f>
        <v>0</v>
      </c>
      <c r="L116" s="958">
        <f t="shared" si="25"/>
        <v>0</v>
      </c>
      <c r="M116" s="953">
        <f>IF(L$45=0,0,100*L116/L$45)</f>
        <v>0</v>
      </c>
      <c r="N116" s="32"/>
      <c r="O116" s="410">
        <v>0.03</v>
      </c>
      <c r="P116" s="410">
        <f t="shared" si="26"/>
        <v>0.03</v>
      </c>
      <c r="Q116" s="410">
        <f t="shared" si="27"/>
        <v>0.03</v>
      </c>
      <c r="R116" s="410">
        <f t="shared" si="27"/>
        <v>0.03</v>
      </c>
      <c r="S116" s="331"/>
      <c r="T116" s="331"/>
      <c r="U116" s="331"/>
      <c r="V116" s="494"/>
      <c r="W116" s="494"/>
      <c r="X116" s="494"/>
      <c r="Y116" s="494"/>
      <c r="Z116" s="494"/>
      <c r="AA116" s="494"/>
      <c r="AB116" s="499"/>
    </row>
    <row r="117" spans="1:28" s="4" customFormat="1" ht="13.9" customHeight="1" thickBot="1" x14ac:dyDescent="0.25">
      <c r="B117" s="447"/>
      <c r="C117" s="1120" t="s">
        <v>72</v>
      </c>
      <c r="D117" s="958">
        <v>0</v>
      </c>
      <c r="E117" s="961">
        <f>IF(D$45=0,0,100*D117/D$45)</f>
        <v>0</v>
      </c>
      <c r="F117" s="958">
        <f t="shared" si="28"/>
        <v>0</v>
      </c>
      <c r="G117" s="961">
        <f>IF(F$45=0,0,100*F117/F$45)</f>
        <v>0</v>
      </c>
      <c r="H117" s="958">
        <f t="shared" si="24"/>
        <v>0</v>
      </c>
      <c r="I117" s="961">
        <f>IF(H$45=0,0,100*H117/H$45)</f>
        <v>0</v>
      </c>
      <c r="J117" s="958">
        <f t="shared" si="29"/>
        <v>0</v>
      </c>
      <c r="K117" s="953">
        <f>IF(J$45=0,0,100*J117/J$45)</f>
        <v>0</v>
      </c>
      <c r="L117" s="958">
        <f t="shared" si="25"/>
        <v>0</v>
      </c>
      <c r="M117" s="953">
        <f>IF(L$45=0,0,100*L117/L$45)</f>
        <v>0</v>
      </c>
      <c r="N117" s="32"/>
      <c r="O117" s="410">
        <v>0.03</v>
      </c>
      <c r="P117" s="410">
        <f t="shared" si="26"/>
        <v>0.03</v>
      </c>
      <c r="Q117" s="410">
        <f t="shared" si="27"/>
        <v>0.03</v>
      </c>
      <c r="R117" s="410">
        <f t="shared" si="27"/>
        <v>0.03</v>
      </c>
      <c r="S117" s="331"/>
      <c r="T117" s="331"/>
      <c r="U117" s="331"/>
      <c r="V117" s="494"/>
      <c r="W117" s="494"/>
      <c r="X117" s="494"/>
      <c r="Y117" s="494"/>
      <c r="Z117" s="494"/>
      <c r="AA117" s="494"/>
      <c r="AB117" s="499"/>
    </row>
    <row r="118" spans="1:28" s="4" customFormat="1" ht="13.9" customHeight="1" thickBot="1" x14ac:dyDescent="0.25">
      <c r="B118" s="1124"/>
      <c r="C118" s="1121" t="s">
        <v>487</v>
      </c>
      <c r="D118" s="958">
        <v>0</v>
      </c>
      <c r="E118" s="961">
        <f t="shared" ref="E118:E123" si="30">IF(D$124=0,0,100*D118/D$124)</f>
        <v>0</v>
      </c>
      <c r="F118" s="958">
        <f t="shared" si="28"/>
        <v>0</v>
      </c>
      <c r="G118" s="961">
        <f>IF(F$45=0,0,100*F118/F$45)</f>
        <v>0</v>
      </c>
      <c r="H118" s="958">
        <f t="shared" si="24"/>
        <v>0</v>
      </c>
      <c r="I118" s="961">
        <f>IF(H$45=0,0,100*H118/H$45)</f>
        <v>0</v>
      </c>
      <c r="J118" s="958">
        <f t="shared" si="29"/>
        <v>0</v>
      </c>
      <c r="K118" s="961">
        <f>IF(J$45=0,0,100*J118/J$45)</f>
        <v>0</v>
      </c>
      <c r="L118" s="958">
        <f t="shared" si="25"/>
        <v>0</v>
      </c>
      <c r="M118" s="961">
        <f>IF(L$45=0,0,100*L118/L$45)</f>
        <v>0</v>
      </c>
      <c r="N118" s="33"/>
      <c r="O118" s="410">
        <v>0.03</v>
      </c>
      <c r="P118" s="410">
        <f t="shared" si="26"/>
        <v>0.03</v>
      </c>
      <c r="Q118" s="410">
        <f t="shared" si="27"/>
        <v>0.03</v>
      </c>
      <c r="R118" s="410">
        <f t="shared" si="27"/>
        <v>0.03</v>
      </c>
      <c r="S118" s="331"/>
      <c r="T118" s="331"/>
      <c r="U118" s="331"/>
      <c r="V118" s="331"/>
      <c r="W118" s="331"/>
      <c r="X118" s="331"/>
      <c r="Y118" s="494"/>
      <c r="Z118" s="494"/>
      <c r="AA118" s="494"/>
      <c r="AB118" s="499"/>
    </row>
    <row r="119" spans="1:28" s="4" customFormat="1" ht="13.9" customHeight="1" thickBot="1" x14ac:dyDescent="0.25">
      <c r="A119"/>
      <c r="B119" s="1124"/>
      <c r="C119" s="1121" t="s">
        <v>507</v>
      </c>
      <c r="D119" s="958">
        <v>0</v>
      </c>
      <c r="E119" s="961">
        <f t="shared" si="30"/>
        <v>0</v>
      </c>
      <c r="F119" s="958">
        <f>D119</f>
        <v>0</v>
      </c>
      <c r="G119" s="961">
        <f t="shared" ref="G119:M120" si="31">IF(F$45=0,0,100*F119/F$45)</f>
        <v>0</v>
      </c>
      <c r="H119" s="958">
        <f>F119</f>
        <v>0</v>
      </c>
      <c r="I119" s="961">
        <f t="shared" ref="I119" si="32">IF(H$45=0,0,100*H119/H$45)</f>
        <v>0</v>
      </c>
      <c r="J119" s="958">
        <f>H119</f>
        <v>0</v>
      </c>
      <c r="K119" s="961">
        <f>IF(J$45=0,0,100*J119/J$45)</f>
        <v>0</v>
      </c>
      <c r="L119" s="958">
        <f>J119</f>
        <v>0</v>
      </c>
      <c r="M119" s="961">
        <f>IF(L$45=0,0,100*L119/L$45)</f>
        <v>0</v>
      </c>
      <c r="N119" s="33"/>
      <c r="O119" s="568">
        <f>IF(F119&gt;0,"MERKITSE MENO KOKO SOPIMUSKAUDELLE!",0)</f>
        <v>0</v>
      </c>
      <c r="P119" s="579"/>
      <c r="Q119" s="579"/>
      <c r="R119" s="579"/>
      <c r="S119" s="157"/>
      <c r="T119" s="331"/>
      <c r="U119" s="331"/>
      <c r="V119" s="331"/>
      <c r="W119" s="331"/>
      <c r="X119" s="331"/>
      <c r="Y119" s="494"/>
      <c r="Z119" s="494"/>
      <c r="AA119" s="494"/>
      <c r="AB119" s="499"/>
    </row>
    <row r="120" spans="1:28" s="4" customFormat="1" ht="13.9" customHeight="1" thickBot="1" x14ac:dyDescent="0.25">
      <c r="B120" s="1124"/>
      <c r="C120" s="1122" t="s">
        <v>488</v>
      </c>
      <c r="D120" s="958">
        <v>0</v>
      </c>
      <c r="E120" s="961">
        <f t="shared" si="30"/>
        <v>0</v>
      </c>
      <c r="F120" s="958">
        <f t="shared" si="28"/>
        <v>0</v>
      </c>
      <c r="G120" s="961">
        <f t="shared" si="31"/>
        <v>0</v>
      </c>
      <c r="H120" s="958">
        <f t="shared" ref="H120" si="33">F120+F120*P120</f>
        <v>0</v>
      </c>
      <c r="I120" s="961">
        <f t="shared" si="31"/>
        <v>0</v>
      </c>
      <c r="J120" s="958">
        <f t="shared" ref="J120" si="34">H120+H120*Q120</f>
        <v>0</v>
      </c>
      <c r="K120" s="961">
        <f t="shared" si="31"/>
        <v>0</v>
      </c>
      <c r="L120" s="958">
        <f t="shared" ref="L120" si="35">J120+J120*R120</f>
        <v>0</v>
      </c>
      <c r="M120" s="961">
        <f t="shared" si="31"/>
        <v>0</v>
      </c>
      <c r="N120" s="33"/>
      <c r="O120" s="410">
        <v>0.03</v>
      </c>
      <c r="P120" s="410">
        <f t="shared" ref="P120:R120" si="36">O120</f>
        <v>0.03</v>
      </c>
      <c r="Q120" s="410">
        <f t="shared" si="36"/>
        <v>0.03</v>
      </c>
      <c r="R120" s="410">
        <f t="shared" si="36"/>
        <v>0.03</v>
      </c>
      <c r="S120" s="331"/>
      <c r="T120" s="331"/>
      <c r="U120" s="331"/>
      <c r="V120" s="331"/>
      <c r="W120" s="331"/>
      <c r="X120" s="331"/>
      <c r="Y120" s="331"/>
      <c r="Z120" s="331"/>
      <c r="AA120" s="331"/>
      <c r="AB120" s="495"/>
    </row>
    <row r="121" spans="1:28" s="4" customFormat="1" ht="13.9" customHeight="1" thickBot="1" x14ac:dyDescent="0.25">
      <c r="A121"/>
      <c r="B121" s="1124"/>
      <c r="C121" s="1262" t="s">
        <v>727</v>
      </c>
      <c r="D121" s="958">
        <v>0</v>
      </c>
      <c r="E121" s="961">
        <f t="shared" si="30"/>
        <v>0</v>
      </c>
      <c r="F121" s="958">
        <f t="shared" si="28"/>
        <v>0</v>
      </c>
      <c r="G121" s="961">
        <f>IF(F$45=0,0,100*F121/F$45)</f>
        <v>0</v>
      </c>
      <c r="H121" s="958">
        <f t="shared" si="24"/>
        <v>0</v>
      </c>
      <c r="I121" s="961">
        <f>IF(H$45=0,0,100*H121/H$45)</f>
        <v>0</v>
      </c>
      <c r="J121" s="958">
        <f t="shared" si="29"/>
        <v>0</v>
      </c>
      <c r="K121" s="961">
        <f>IF(J$45=0,0,100*J121/J$45)</f>
        <v>0</v>
      </c>
      <c r="L121" s="958">
        <f t="shared" si="25"/>
        <v>0</v>
      </c>
      <c r="M121" s="961">
        <f>IF(L$45=0,0,100*L121/L$45)</f>
        <v>0</v>
      </c>
      <c r="N121" s="33"/>
      <c r="O121" s="410">
        <v>0.03</v>
      </c>
      <c r="P121" s="410">
        <f t="shared" si="26"/>
        <v>0.03</v>
      </c>
      <c r="Q121" s="410">
        <f t="shared" si="27"/>
        <v>0.03</v>
      </c>
      <c r="R121" s="410">
        <f t="shared" si="27"/>
        <v>0.03</v>
      </c>
      <c r="S121" s="331"/>
      <c r="T121" s="331"/>
      <c r="U121" s="331"/>
      <c r="V121" s="331"/>
      <c r="W121" s="331"/>
      <c r="X121" s="331"/>
      <c r="Y121" s="331"/>
      <c r="Z121" s="331"/>
      <c r="AA121" s="331"/>
      <c r="AB121" s="495"/>
    </row>
    <row r="122" spans="1:28" s="4" customFormat="1" ht="13.9" customHeight="1" thickBot="1" x14ac:dyDescent="0.25">
      <c r="A122"/>
      <c r="B122" s="1124"/>
      <c r="C122" s="1122" t="s">
        <v>508</v>
      </c>
      <c r="D122" s="958">
        <v>0</v>
      </c>
      <c r="E122" s="961">
        <f t="shared" si="30"/>
        <v>0</v>
      </c>
      <c r="F122" s="958">
        <f t="shared" si="28"/>
        <v>0</v>
      </c>
      <c r="G122" s="961">
        <f t="shared" ref="G122:G123" si="37">IF(F$45=0,0,100*F122/F$45)</f>
        <v>0</v>
      </c>
      <c r="H122" s="958">
        <f t="shared" si="24"/>
        <v>0</v>
      </c>
      <c r="I122" s="961">
        <f t="shared" ref="I122:I123" si="38">IF(H$45=0,0,100*H122/H$45)</f>
        <v>0</v>
      </c>
      <c r="J122" s="958">
        <f t="shared" si="29"/>
        <v>0</v>
      </c>
      <c r="K122" s="961">
        <f t="shared" ref="K122:K123" si="39">IF(J$45=0,0,100*J122/J$45)</f>
        <v>0</v>
      </c>
      <c r="L122" s="958">
        <f t="shared" si="25"/>
        <v>0</v>
      </c>
      <c r="M122" s="961">
        <f t="shared" ref="M122:M123" si="40">IF(L$45=0,0,100*L122/L$45)</f>
        <v>0</v>
      </c>
      <c r="N122" s="33"/>
      <c r="O122" s="410">
        <v>0.03</v>
      </c>
      <c r="P122" s="410">
        <f t="shared" ref="P122:P123" si="41">O122</f>
        <v>0.03</v>
      </c>
      <c r="Q122" s="410">
        <f t="shared" ref="Q122:Q123" si="42">P122</f>
        <v>0.03</v>
      </c>
      <c r="R122" s="410">
        <f t="shared" ref="R122:R123" si="43">Q122</f>
        <v>0.03</v>
      </c>
      <c r="S122" s="404"/>
      <c r="T122" s="331"/>
      <c r="U122" s="331"/>
      <c r="V122" s="331"/>
      <c r="W122" s="331"/>
      <c r="X122" s="331"/>
      <c r="Y122" s="331"/>
      <c r="Z122" s="331"/>
      <c r="AA122" s="331"/>
      <c r="AB122" s="495"/>
    </row>
    <row r="123" spans="1:28" s="4" customFormat="1" ht="13.9" customHeight="1" thickBot="1" x14ac:dyDescent="0.25">
      <c r="A123"/>
      <c r="B123" s="1124"/>
      <c r="C123" s="1122" t="s">
        <v>509</v>
      </c>
      <c r="D123" s="1027">
        <v>0</v>
      </c>
      <c r="E123" s="961">
        <f t="shared" si="30"/>
        <v>0</v>
      </c>
      <c r="F123" s="958">
        <f t="shared" si="28"/>
        <v>0</v>
      </c>
      <c r="G123" s="961">
        <f t="shared" si="37"/>
        <v>0</v>
      </c>
      <c r="H123" s="958">
        <f t="shared" si="24"/>
        <v>0</v>
      </c>
      <c r="I123" s="961">
        <f t="shared" si="38"/>
        <v>0</v>
      </c>
      <c r="J123" s="958">
        <f t="shared" si="29"/>
        <v>0</v>
      </c>
      <c r="K123" s="961">
        <f t="shared" si="39"/>
        <v>0</v>
      </c>
      <c r="L123" s="958">
        <f t="shared" si="25"/>
        <v>0</v>
      </c>
      <c r="M123" s="961">
        <f t="shared" si="40"/>
        <v>0</v>
      </c>
      <c r="N123" s="33"/>
      <c r="O123" s="410">
        <v>0.03</v>
      </c>
      <c r="P123" s="410">
        <f t="shared" si="41"/>
        <v>0.03</v>
      </c>
      <c r="Q123" s="410">
        <f t="shared" si="42"/>
        <v>0.03</v>
      </c>
      <c r="R123" s="410">
        <f t="shared" si="43"/>
        <v>0.03</v>
      </c>
      <c r="S123" s="581"/>
      <c r="T123" s="496"/>
      <c r="U123" s="496"/>
      <c r="V123" s="496"/>
      <c r="W123" s="496"/>
      <c r="X123" s="496"/>
      <c r="Y123" s="496"/>
      <c r="Z123" s="496"/>
      <c r="AA123" s="496"/>
      <c r="AB123" s="498"/>
    </row>
    <row r="124" spans="1:28" ht="17.649999999999999" customHeight="1" thickBot="1" x14ac:dyDescent="0.25">
      <c r="B124" s="1324" t="s">
        <v>5</v>
      </c>
      <c r="C124" s="1325" t="s">
        <v>18</v>
      </c>
      <c r="D124" s="1326">
        <f>D45+D44</f>
        <v>0</v>
      </c>
      <c r="E124" s="1327">
        <v>0</v>
      </c>
      <c r="F124" s="1326">
        <f>F45+F44</f>
        <v>0</v>
      </c>
      <c r="G124" s="1328">
        <v>0</v>
      </c>
      <c r="H124" s="1326">
        <f>H45+H44</f>
        <v>0</v>
      </c>
      <c r="I124" s="1329">
        <v>0</v>
      </c>
      <c r="J124" s="1326">
        <f>J45+J44</f>
        <v>0</v>
      </c>
      <c r="K124" s="1327"/>
      <c r="L124" s="1326">
        <f>L45+L44</f>
        <v>0</v>
      </c>
      <c r="M124" s="1327"/>
      <c r="N124" s="7"/>
      <c r="O124" s="45"/>
      <c r="P124" s="45"/>
      <c r="Q124" s="45"/>
      <c r="R124" s="45"/>
      <c r="S124" s="46"/>
      <c r="T124" s="46"/>
      <c r="U124" s="46"/>
      <c r="V124" s="46"/>
      <c r="W124" s="46"/>
      <c r="X124" s="46"/>
      <c r="Y124" s="46"/>
      <c r="Z124" s="29"/>
      <c r="AA124" s="29"/>
    </row>
    <row r="125" spans="1:28" ht="10.5" customHeight="1" x14ac:dyDescent="0.25">
      <c r="B125" s="4"/>
      <c r="D125" s="1134" t="str">
        <f>IF(D124&lt;0,"MUUTA KAIKKI TAULUKON LUVUT +MERKKISIKSI!","")</f>
        <v/>
      </c>
      <c r="N125" s="3"/>
      <c r="O125" s="28"/>
      <c r="P125" s="28"/>
      <c r="Q125" s="1"/>
      <c r="R125" s="1"/>
      <c r="S125" s="1"/>
      <c r="T125" s="1"/>
      <c r="U125" s="1"/>
      <c r="V125" s="1"/>
      <c r="W125" s="1"/>
      <c r="X125" s="1"/>
      <c r="Y125" s="1"/>
      <c r="Z125" s="29"/>
      <c r="AA125" s="29"/>
    </row>
    <row r="126" spans="1:28" s="2" customFormat="1" x14ac:dyDescent="0.2">
      <c r="A126" s="4"/>
      <c r="B126" s="469" t="str">
        <f>IF(D46+D52&lt;0,"VIRHE! KORJAA LUVUT + MERKKISIKSI!","")</f>
        <v/>
      </c>
      <c r="D126" s="228"/>
      <c r="E126" s="426"/>
      <c r="F126" s="426"/>
      <c r="G126" s="426"/>
      <c r="H126" s="426"/>
      <c r="I126" s="1789" t="str">
        <f>OHJE!I5</f>
        <v>Palvelun tarjoaa</v>
      </c>
      <c r="J126" s="1789"/>
      <c r="K126" s="1789"/>
      <c r="L126" s="1789"/>
      <c r="M126" s="1789"/>
      <c r="N126" s="3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29"/>
      <c r="AA126" s="29"/>
    </row>
    <row r="127" spans="1:28" s="2" customFormat="1" x14ac:dyDescent="0.2">
      <c r="B127" s="1871" t="str">
        <f>OHJE!G24</f>
        <v>YT22 Toimivan yrityksen tulossuunnitelma</v>
      </c>
      <c r="C127" s="1871"/>
      <c r="D127" s="426"/>
      <c r="E127" s="426"/>
      <c r="F127" s="1874" t="str">
        <f>OHJE!H7</f>
        <v>Business Kuopio</v>
      </c>
      <c r="G127" s="1874"/>
      <c r="H127" s="1874"/>
      <c r="I127" s="1874"/>
      <c r="J127" s="1874"/>
      <c r="K127" s="1874"/>
      <c r="L127" s="1874"/>
      <c r="M127" s="1874"/>
      <c r="N127" s="3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29"/>
      <c r="AA127" s="29"/>
    </row>
    <row r="128" spans="1:28" s="2" customFormat="1" x14ac:dyDescent="0.2">
      <c r="B128" s="4"/>
      <c r="N128" s="3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29"/>
      <c r="AA128" s="29"/>
    </row>
    <row r="129" spans="1:27" ht="6.75" customHeight="1" x14ac:dyDescent="0.2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9"/>
      <c r="AA129" s="29"/>
    </row>
    <row r="130" spans="1:27" x14ac:dyDescent="0.2">
      <c r="B130" s="34"/>
      <c r="C130" s="424" t="s">
        <v>336</v>
      </c>
      <c r="D130" s="20"/>
      <c r="E130" s="20"/>
      <c r="F130" s="9"/>
      <c r="G130" s="20"/>
      <c r="H130" s="9"/>
      <c r="I130" s="20"/>
      <c r="J130" s="9"/>
      <c r="K130" s="20"/>
      <c r="L130" s="9"/>
      <c r="M130" s="20"/>
      <c r="N130" s="9"/>
      <c r="O130" s="9"/>
      <c r="P130" s="9"/>
      <c r="Q130" s="8"/>
      <c r="R130" s="29"/>
      <c r="S130" s="29"/>
      <c r="T130" s="29"/>
      <c r="U130" s="29"/>
      <c r="V130" s="29"/>
      <c r="W130" s="29"/>
      <c r="X130" s="29"/>
      <c r="Y130" s="29"/>
      <c r="Z130" s="29"/>
      <c r="AA130" s="29"/>
    </row>
    <row r="131" spans="1:27" s="2" customFormat="1" x14ac:dyDescent="0.2">
      <c r="B131" s="37"/>
      <c r="C131" s="54" t="s">
        <v>337</v>
      </c>
      <c r="D131" s="36"/>
      <c r="E131" s="36"/>
      <c r="F131" s="23"/>
      <c r="G131" s="36"/>
      <c r="H131" s="9"/>
      <c r="I131" s="36"/>
      <c r="J131" s="9"/>
      <c r="K131" s="36"/>
      <c r="L131" s="9"/>
      <c r="M131" s="36"/>
      <c r="N131" s="9"/>
      <c r="O131" s="9"/>
      <c r="P131" s="9"/>
      <c r="Q131" s="8"/>
      <c r="R131" s="29"/>
      <c r="S131" s="29"/>
      <c r="T131" s="29"/>
      <c r="U131" s="29"/>
      <c r="V131" s="29"/>
      <c r="W131" s="29"/>
      <c r="X131" s="29"/>
      <c r="Y131" s="29"/>
      <c r="Z131" s="29"/>
      <c r="AA131" s="29"/>
    </row>
    <row r="132" spans="1:27" s="2" customFormat="1" ht="12.75" customHeight="1" x14ac:dyDescent="0.2">
      <c r="B132" s="37"/>
      <c r="C132" s="54" t="s">
        <v>338</v>
      </c>
      <c r="D132" s="36"/>
      <c r="E132" s="36"/>
      <c r="F132" s="9"/>
      <c r="G132" s="36"/>
      <c r="H132" s="9"/>
      <c r="I132" s="36"/>
      <c r="J132" s="9"/>
      <c r="K132" s="36"/>
      <c r="L132" s="9"/>
      <c r="M132" s="36"/>
      <c r="N132" s="9"/>
      <c r="O132" s="9"/>
      <c r="P132" s="9"/>
      <c r="Q132" s="8"/>
      <c r="R132" s="29"/>
      <c r="S132" s="29"/>
      <c r="T132" s="29"/>
      <c r="U132" s="29"/>
      <c r="V132" s="29"/>
      <c r="W132" s="29"/>
      <c r="X132" s="29"/>
      <c r="Y132" s="29"/>
      <c r="Z132" s="29"/>
      <c r="AA132" s="29"/>
    </row>
    <row r="133" spans="1:27" x14ac:dyDescent="0.2">
      <c r="B133" s="34"/>
      <c r="N133" s="12"/>
      <c r="O133" s="12"/>
      <c r="P133" s="12"/>
      <c r="Q133" s="8"/>
      <c r="R133" s="13"/>
      <c r="S133" s="29"/>
      <c r="T133" s="29"/>
      <c r="U133" s="29"/>
      <c r="V133" s="29"/>
      <c r="W133" s="29"/>
      <c r="X133" s="29"/>
      <c r="Y133" s="29"/>
      <c r="Z133" s="29"/>
      <c r="AA133" s="29"/>
    </row>
    <row r="134" spans="1:27" s="2" customFormat="1" x14ac:dyDescent="0.2">
      <c r="B134" s="34"/>
      <c r="N134" s="14"/>
      <c r="O134" s="14"/>
      <c r="P134" s="14"/>
      <c r="Q134" s="8"/>
      <c r="R134" s="13"/>
      <c r="S134" s="29"/>
      <c r="T134" s="29"/>
      <c r="U134" s="29"/>
      <c r="V134" s="29"/>
      <c r="W134" s="29"/>
      <c r="X134" s="29"/>
      <c r="Y134" s="29"/>
      <c r="Z134" s="29"/>
      <c r="AA134" s="29"/>
    </row>
    <row r="135" spans="1:27" x14ac:dyDescent="0.2">
      <c r="B135" s="37"/>
      <c r="N135" s="9"/>
      <c r="O135" s="9"/>
      <c r="P135" s="9"/>
      <c r="Q135" s="8"/>
      <c r="R135" s="29"/>
      <c r="S135" s="29"/>
      <c r="T135" s="29"/>
      <c r="U135" s="29"/>
      <c r="V135" s="29"/>
      <c r="W135" s="29"/>
      <c r="X135" s="29"/>
      <c r="Y135" s="29"/>
      <c r="Z135" s="29"/>
      <c r="AA135" s="29"/>
    </row>
    <row r="136" spans="1:27" x14ac:dyDescent="0.2">
      <c r="B136" s="34"/>
      <c r="N136" s="12"/>
      <c r="O136" s="12"/>
      <c r="P136" s="12"/>
      <c r="Q136" s="8"/>
      <c r="R136" s="29"/>
      <c r="S136" s="29"/>
      <c r="T136" s="29"/>
      <c r="U136" s="29"/>
      <c r="V136" s="29"/>
      <c r="W136" s="29"/>
      <c r="X136" s="29"/>
      <c r="Y136" s="29"/>
      <c r="Z136" s="29"/>
      <c r="AA136" s="29"/>
    </row>
    <row r="137" spans="1:27" x14ac:dyDescent="0.2">
      <c r="B137" s="37"/>
      <c r="N137" s="9"/>
      <c r="O137" s="9"/>
      <c r="P137" s="9"/>
      <c r="Q137" s="8"/>
      <c r="R137" s="29"/>
      <c r="S137" s="29"/>
      <c r="T137" s="29"/>
      <c r="U137" s="29"/>
      <c r="V137" s="29"/>
      <c r="W137" s="29"/>
      <c r="X137" s="29"/>
      <c r="Y137" s="29"/>
      <c r="Z137" s="29"/>
      <c r="AA137" s="29"/>
    </row>
    <row r="138" spans="1:27" ht="12.75" customHeight="1" x14ac:dyDescent="0.2">
      <c r="B138" s="20"/>
      <c r="N138" s="11"/>
      <c r="O138" s="11"/>
      <c r="P138" s="11"/>
      <c r="Q138" s="8"/>
      <c r="R138" s="29"/>
      <c r="S138" s="29"/>
      <c r="T138" s="29"/>
      <c r="U138" s="29"/>
      <c r="V138" s="29"/>
      <c r="W138" s="29"/>
      <c r="X138" s="29"/>
      <c r="Y138" s="29"/>
      <c r="Z138" s="29"/>
      <c r="AA138" s="29"/>
    </row>
    <row r="139" spans="1:27" ht="12.75" customHeight="1" x14ac:dyDescent="0.2">
      <c r="B139" s="20"/>
      <c r="C139" s="35"/>
      <c r="D139" s="10"/>
      <c r="E139" s="10"/>
      <c r="F139" s="11"/>
      <c r="G139" s="10"/>
      <c r="H139" s="16"/>
      <c r="I139" s="10"/>
      <c r="J139" s="16"/>
      <c r="K139" s="10"/>
      <c r="L139" s="16"/>
      <c r="M139" s="10"/>
      <c r="N139" s="16"/>
      <c r="O139" s="16"/>
      <c r="P139" s="16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</row>
    <row r="140" spans="1:27" ht="12.75" customHeight="1" x14ac:dyDescent="0.2">
      <c r="B140" s="20"/>
      <c r="C140" s="35"/>
      <c r="D140" s="20"/>
      <c r="E140" s="20"/>
      <c r="F140" s="11"/>
      <c r="G140" s="20"/>
      <c r="H140" s="11"/>
      <c r="I140" s="20"/>
      <c r="J140" s="11"/>
      <c r="K140" s="20"/>
      <c r="L140" s="11"/>
      <c r="M140" s="20"/>
      <c r="N140" s="11"/>
      <c r="O140" s="11"/>
      <c r="P140" s="11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</row>
    <row r="141" spans="1:27" ht="12.75" customHeight="1" x14ac:dyDescent="0.2">
      <c r="B141" s="20"/>
      <c r="C141" s="35"/>
      <c r="D141" s="36"/>
      <c r="E141" s="36"/>
      <c r="F141" s="11"/>
      <c r="G141" s="36"/>
      <c r="H141" s="39"/>
      <c r="I141" s="36"/>
      <c r="J141" s="39"/>
      <c r="K141" s="36"/>
      <c r="L141" s="39"/>
      <c r="M141" s="36"/>
      <c r="N141" s="39"/>
      <c r="O141" s="39"/>
      <c r="P141" s="39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</row>
    <row r="142" spans="1:27" ht="12.75" customHeight="1" x14ac:dyDescent="0.2">
      <c r="A142" s="55"/>
      <c r="B142" s="36"/>
      <c r="C142" s="35"/>
      <c r="D142" s="36"/>
      <c r="E142" s="36"/>
      <c r="F142" s="11"/>
      <c r="G142" s="36"/>
      <c r="H142" s="39"/>
      <c r="I142" s="36"/>
      <c r="J142" s="39"/>
      <c r="K142" s="36"/>
      <c r="L142" s="39"/>
      <c r="M142" s="36"/>
      <c r="N142" s="39"/>
      <c r="O142" s="39"/>
      <c r="P142" s="39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</row>
    <row r="143" spans="1:27" ht="12.75" customHeight="1" x14ac:dyDescent="0.2">
      <c r="B143" s="20"/>
      <c r="C143" s="35"/>
      <c r="D143" s="40"/>
      <c r="E143" s="40"/>
      <c r="F143" s="11"/>
      <c r="G143" s="40"/>
      <c r="H143" s="39"/>
      <c r="I143" s="40"/>
      <c r="J143" s="39"/>
      <c r="K143" s="40"/>
      <c r="L143" s="39"/>
      <c r="M143" s="40"/>
      <c r="N143" s="39"/>
      <c r="O143" s="39"/>
      <c r="P143" s="39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</row>
    <row r="144" spans="1:27" ht="12.75" customHeight="1" x14ac:dyDescent="0.2">
      <c r="A144" s="55"/>
      <c r="B144" s="8"/>
      <c r="C144" s="8"/>
      <c r="D144" s="36"/>
      <c r="E144" s="36"/>
      <c r="F144" s="8"/>
      <c r="G144" s="36"/>
      <c r="H144" s="8"/>
      <c r="I144" s="36"/>
      <c r="J144" s="8"/>
      <c r="K144" s="36"/>
      <c r="L144" s="8"/>
      <c r="M144" s="36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</row>
    <row r="145" spans="1:27" ht="12.75" customHeight="1" x14ac:dyDescent="0.2">
      <c r="A145" s="55"/>
      <c r="B145" s="8"/>
      <c r="C145" s="8"/>
      <c r="D145" s="8"/>
      <c r="E145" s="8"/>
      <c r="F145" s="37"/>
      <c r="G145" s="8"/>
      <c r="H145" s="15"/>
      <c r="I145" s="8"/>
      <c r="J145" s="15"/>
      <c r="K145" s="8"/>
      <c r="L145" s="15"/>
      <c r="M145" s="8"/>
      <c r="N145" s="15"/>
      <c r="O145" s="15"/>
      <c r="P145" s="15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</row>
    <row r="146" spans="1:27" ht="12.75" customHeight="1" x14ac:dyDescent="0.2">
      <c r="A146" s="2"/>
      <c r="B146" s="8"/>
      <c r="C146" s="8"/>
      <c r="D146" s="8"/>
      <c r="E146" s="8"/>
      <c r="F146" s="37"/>
      <c r="G146" s="8"/>
      <c r="H146" s="9"/>
      <c r="I146" s="8"/>
      <c r="J146" s="9"/>
      <c r="K146" s="8"/>
      <c r="L146" s="9"/>
      <c r="M146" s="8"/>
      <c r="N146" s="9"/>
      <c r="O146" s="9"/>
      <c r="P146" s="9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</row>
    <row r="147" spans="1:27" ht="12.75" customHeight="1" x14ac:dyDescent="0.2">
      <c r="A147" s="55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</row>
    <row r="148" spans="1:27" ht="12.75" customHeight="1" x14ac:dyDescent="0.2">
      <c r="B148" s="8"/>
      <c r="C148" s="8"/>
      <c r="D148" s="36"/>
      <c r="E148" s="36"/>
      <c r="F148" s="37"/>
      <c r="G148" s="36"/>
      <c r="H148" s="17"/>
      <c r="I148" s="36"/>
      <c r="J148" s="17"/>
      <c r="K148" s="36"/>
      <c r="L148" s="17"/>
      <c r="M148" s="36"/>
      <c r="N148" s="17"/>
      <c r="O148" s="17"/>
      <c r="P148" s="17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</row>
    <row r="149" spans="1:27" ht="12.75" customHeight="1" x14ac:dyDescent="0.2">
      <c r="A149" s="55"/>
    </row>
    <row r="150" spans="1:27" ht="12.75" customHeight="1" x14ac:dyDescent="0.2"/>
    <row r="151" spans="1:27" ht="12.75" customHeight="1" x14ac:dyDescent="0.2">
      <c r="A151" s="55"/>
    </row>
    <row r="152" spans="1:27" ht="12.75" customHeight="1" x14ac:dyDescent="0.2">
      <c r="A152" s="2"/>
    </row>
    <row r="153" spans="1:27" ht="12.75" customHeight="1" x14ac:dyDescent="0.2">
      <c r="A153" s="55"/>
    </row>
    <row r="154" spans="1:27" ht="12.75" customHeight="1" x14ac:dyDescent="0.2"/>
    <row r="155" spans="1:27" ht="12.75" customHeight="1" x14ac:dyDescent="0.2">
      <c r="A155" s="55"/>
    </row>
    <row r="156" spans="1:27" ht="12.75" customHeight="1" x14ac:dyDescent="0.2"/>
    <row r="157" spans="1:27" ht="12.75" customHeight="1" x14ac:dyDescent="0.2">
      <c r="A157" s="55"/>
    </row>
    <row r="158" spans="1:27" ht="12.75" customHeight="1" x14ac:dyDescent="0.2">
      <c r="A158" s="2"/>
    </row>
    <row r="159" spans="1:27" ht="12.75" customHeight="1" x14ac:dyDescent="0.2">
      <c r="A159" s="55"/>
    </row>
    <row r="160" spans="1:27" ht="12.75" customHeight="1" x14ac:dyDescent="0.2"/>
    <row r="161" spans="1:1" x14ac:dyDescent="0.2">
      <c r="A161" s="55"/>
    </row>
    <row r="163" spans="1:1" x14ac:dyDescent="0.2">
      <c r="A163" s="55"/>
    </row>
    <row r="164" spans="1:1" x14ac:dyDescent="0.2">
      <c r="A164" s="2"/>
    </row>
    <row r="165" spans="1:1" x14ac:dyDescent="0.2">
      <c r="A165" s="55"/>
    </row>
    <row r="166" spans="1:1" x14ac:dyDescent="0.2">
      <c r="A166" s="4"/>
    </row>
  </sheetData>
  <sheetProtection algorithmName="SHA-512" hashValue="HLuzjIQAsrQGXRWAWIidGdlo6i/F1UhxT+Oae7oTltiKK0Zjo68NKC81IX3XQIK3K1NRfkf0WliRTnXqGKuNpA==" saltValue="FirlJkRMoOyb+rkITm4TdA==" spinCount="100000" sheet="1" objects="1" scenarios="1"/>
  <mergeCells count="27"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</mergeCells>
  <phoneticPr fontId="5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0"/>
  <sheetViews>
    <sheetView showGridLines="0" showZeros="0" defaultGridColor="0" colorId="55" zoomScale="115" zoomScaleNormal="115" workbookViewId="0">
      <selection activeCell="B11" sqref="B11"/>
    </sheetView>
  </sheetViews>
  <sheetFormatPr defaultRowHeight="12.75" x14ac:dyDescent="0.2"/>
  <cols>
    <col min="1" max="1" width="11.7109375" customWidth="1"/>
    <col min="2" max="2" width="29.5703125" customWidth="1"/>
    <col min="3" max="3" width="5.42578125" style="42" customWidth="1"/>
    <col min="4" max="8" width="13.28515625" customWidth="1"/>
    <col min="9" max="9" width="5.28515625" customWidth="1"/>
    <col min="14" max="21" width="8.85546875" customWidth="1"/>
  </cols>
  <sheetData>
    <row r="2" spans="1:24" ht="15.75" x14ac:dyDescent="0.25">
      <c r="B2" s="25" t="s">
        <v>108</v>
      </c>
      <c r="C2"/>
      <c r="D2" s="25"/>
      <c r="E2" s="50" t="s">
        <v>93</v>
      </c>
      <c r="F2" s="25"/>
      <c r="J2" s="2" t="str">
        <f>B2</f>
        <v>E2  LIIKEVAIHDON MUODOSTUMINEN</v>
      </c>
      <c r="N2" s="413"/>
    </row>
    <row r="3" spans="1:24" ht="13.5" customHeight="1" x14ac:dyDescent="0.2">
      <c r="B3" s="444">
        <f>'3. T3 TASE '!D12</f>
        <v>0</v>
      </c>
      <c r="C3" s="6"/>
      <c r="D3" s="5"/>
      <c r="E3" s="595">
        <f>'1. T1 INVESTOINTISUUN.'!E4:F4</f>
        <v>0</v>
      </c>
      <c r="F3" s="6"/>
      <c r="G3" s="6"/>
      <c r="H3" s="6"/>
      <c r="N3" s="414"/>
    </row>
    <row r="4" spans="1:24" ht="17.25" customHeight="1" x14ac:dyDescent="0.2">
      <c r="B4" s="47" t="s">
        <v>703</v>
      </c>
      <c r="C4" s="56"/>
      <c r="D4" s="19" t="s">
        <v>0</v>
      </c>
      <c r="E4" s="47"/>
      <c r="F4" s="47" t="s">
        <v>530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</row>
    <row r="5" spans="1:24" ht="14.25" customHeight="1" x14ac:dyDescent="0.2">
      <c r="B5" s="170" t="str">
        <f>'2. &amp; 7. T2 TULOSSUUN. '!B5:D5</f>
        <v xml:space="preserve"> </v>
      </c>
      <c r="C5" s="170"/>
      <c r="D5" s="170"/>
      <c r="E5" s="596">
        <f>'2. &amp; 7. T2 TULOSSUUN. '!K5</f>
        <v>0</v>
      </c>
      <c r="F5" s="1883">
        <f>'1. T1 INVESTOINTISUUN.'!B9</f>
        <v>0</v>
      </c>
      <c r="G5" s="1883"/>
      <c r="H5" s="1883"/>
      <c r="I5" s="22"/>
      <c r="J5" s="1675"/>
      <c r="K5" s="1675"/>
      <c r="W5" s="8"/>
      <c r="X5" s="8"/>
    </row>
    <row r="6" spans="1:24" ht="6" customHeight="1" thickBot="1" x14ac:dyDescent="0.25">
      <c r="F6" s="18"/>
      <c r="G6" s="18"/>
      <c r="H6" s="18"/>
      <c r="L6" s="521"/>
      <c r="M6" s="522"/>
      <c r="N6" s="522"/>
      <c r="O6" s="522"/>
      <c r="P6" s="1"/>
      <c r="Q6" s="1"/>
      <c r="R6" s="1"/>
      <c r="S6" s="1"/>
      <c r="T6" s="1"/>
      <c r="U6" s="1"/>
      <c r="V6" s="1"/>
      <c r="W6" s="8"/>
      <c r="X6" s="8"/>
    </row>
    <row r="7" spans="1:24" x14ac:dyDescent="0.2">
      <c r="B7" s="1879" t="s">
        <v>262</v>
      </c>
      <c r="C7" s="1880"/>
      <c r="D7" s="1646" t="s">
        <v>107</v>
      </c>
      <c r="E7" s="1646" t="str">
        <f>'1. T1 INVESTOINTISUUN.'!D15</f>
        <v>Ennuste 1</v>
      </c>
      <c r="F7" s="1646" t="s">
        <v>98</v>
      </c>
      <c r="G7" s="1646" t="s">
        <v>100</v>
      </c>
      <c r="H7" s="1553" t="s">
        <v>259</v>
      </c>
      <c r="J7" s="164" t="s">
        <v>414</v>
      </c>
      <c r="K7" s="177"/>
      <c r="L7" s="146"/>
      <c r="M7" s="146"/>
      <c r="N7" s="146"/>
      <c r="O7" s="146"/>
      <c r="P7" s="365"/>
      <c r="Q7" s="365"/>
      <c r="R7" s="365"/>
      <c r="S7" s="365"/>
      <c r="T7" s="365"/>
      <c r="U7" s="366"/>
    </row>
    <row r="8" spans="1:24" x14ac:dyDescent="0.2">
      <c r="B8" s="1880"/>
      <c r="C8" s="1880"/>
      <c r="D8" s="1331">
        <f>'5. E1 KUSTANNUKSET '!D$8</f>
        <v>2022</v>
      </c>
      <c r="E8" s="1331">
        <f>'5. E1 KUSTANNUKSET '!F$8</f>
        <v>2024</v>
      </c>
      <c r="F8" s="1331">
        <f>'5. E1 KUSTANNUKSET '!H$8</f>
        <v>2025</v>
      </c>
      <c r="G8" s="1331">
        <f>'5. E1 KUSTANNUKSET '!J$8</f>
        <v>2026</v>
      </c>
      <c r="H8" s="1645">
        <f>'1. T1 INVESTOINTISUUN.'!G16</f>
        <v>2027</v>
      </c>
      <c r="I8" s="43"/>
      <c r="J8" s="327"/>
      <c r="K8" s="328"/>
      <c r="L8" s="328"/>
      <c r="M8" s="328"/>
      <c r="N8" s="174"/>
      <c r="O8" s="174"/>
      <c r="P8" s="174"/>
      <c r="Q8" s="174"/>
      <c r="R8" s="174"/>
      <c r="S8" s="174"/>
      <c r="T8" s="174"/>
      <c r="U8" s="368"/>
    </row>
    <row r="9" spans="1:24" x14ac:dyDescent="0.2">
      <c r="B9" s="1882" t="s">
        <v>398</v>
      </c>
      <c r="C9" s="1882"/>
      <c r="D9" s="1647" t="str">
        <f>'5. E1 KUSTANNUKSET '!D10</f>
        <v>12</v>
      </c>
      <c r="E9" s="1647">
        <f>'5. E1 KUSTANNUKSET '!F10</f>
        <v>12</v>
      </c>
      <c r="F9" s="1647" t="str">
        <f>'5. E1 KUSTANNUKSET '!H10</f>
        <v>12</v>
      </c>
      <c r="G9" s="1647" t="str">
        <f>'5. E1 KUSTANNUKSET '!J10</f>
        <v>12</v>
      </c>
      <c r="H9" s="1645" t="str">
        <f>'5. E1 KUSTANNUKSET '!L10</f>
        <v>12</v>
      </c>
      <c r="I9" s="43"/>
      <c r="J9" s="327"/>
      <c r="K9" s="328"/>
      <c r="L9" s="328"/>
      <c r="M9" s="328"/>
      <c r="N9" s="174"/>
      <c r="O9" s="174"/>
      <c r="P9" s="174"/>
      <c r="Q9" s="174"/>
      <c r="R9" s="174"/>
      <c r="S9" s="174"/>
      <c r="T9" s="174"/>
      <c r="U9" s="368"/>
    </row>
    <row r="10" spans="1:24" ht="12" customHeight="1" x14ac:dyDescent="0.2">
      <c r="A10" s="55"/>
      <c r="B10" s="1643"/>
      <c r="C10" s="1644"/>
      <c r="D10" s="1636" t="s">
        <v>168</v>
      </c>
      <c r="E10" s="680">
        <v>0.24</v>
      </c>
      <c r="F10" s="680">
        <f>E10</f>
        <v>0.24</v>
      </c>
      <c r="G10" s="680">
        <f>F10</f>
        <v>0.24</v>
      </c>
      <c r="H10" s="1642">
        <f>G10</f>
        <v>0.24</v>
      </c>
      <c r="I10" s="43"/>
      <c r="J10" s="1881" t="s">
        <v>525</v>
      </c>
      <c r="K10" s="1873"/>
      <c r="L10" s="1873"/>
      <c r="M10" s="1873"/>
      <c r="N10" s="331"/>
      <c r="O10" s="331"/>
      <c r="P10" s="331"/>
      <c r="Q10" s="331"/>
      <c r="R10" s="331"/>
      <c r="S10" s="331"/>
      <c r="T10" s="331"/>
      <c r="U10" s="369"/>
    </row>
    <row r="11" spans="1:24" ht="12.75" customHeight="1" x14ac:dyDescent="0.2">
      <c r="B11" s="1640" t="s">
        <v>722</v>
      </c>
      <c r="C11" s="358" t="s">
        <v>726</v>
      </c>
      <c r="D11" s="610">
        <v>0</v>
      </c>
      <c r="E11" s="791">
        <f>E12*E13</f>
        <v>0</v>
      </c>
      <c r="F11" s="791">
        <f>F12*F13</f>
        <v>0</v>
      </c>
      <c r="G11" s="618">
        <f>G12*G13</f>
        <v>0</v>
      </c>
      <c r="H11" s="791">
        <f>H12*H13</f>
        <v>0</v>
      </c>
      <c r="J11" s="382">
        <f>E$8</f>
        <v>2024</v>
      </c>
      <c r="K11" s="297">
        <f>F$8</f>
        <v>2025</v>
      </c>
      <c r="L11" s="297">
        <f>G$8</f>
        <v>2026</v>
      </c>
      <c r="M11" s="297">
        <f>H$8</f>
        <v>2027</v>
      </c>
      <c r="N11" s="331"/>
      <c r="O11" s="331"/>
      <c r="P11" s="331"/>
      <c r="Q11" s="331"/>
      <c r="R11" s="331"/>
      <c r="S11" s="331"/>
      <c r="T11" s="331"/>
      <c r="U11" s="369"/>
    </row>
    <row r="12" spans="1:24" ht="12" customHeight="1" x14ac:dyDescent="0.2">
      <c r="A12" s="55"/>
      <c r="B12" s="1641" t="s">
        <v>75</v>
      </c>
      <c r="C12" s="1654">
        <v>0</v>
      </c>
      <c r="D12" s="610">
        <v>0</v>
      </c>
      <c r="E12" s="610">
        <f>D12+D12*J12</f>
        <v>0</v>
      </c>
      <c r="F12" s="610">
        <f>E12+E12*K12</f>
        <v>0</v>
      </c>
      <c r="G12" s="610">
        <f t="shared" ref="G12:G13" si="0">F12+F12*L12</f>
        <v>0</v>
      </c>
      <c r="H12" s="610">
        <f t="shared" ref="H12:H13" si="1">G12+G12*M12</f>
        <v>0</v>
      </c>
      <c r="J12" s="409">
        <v>0</v>
      </c>
      <c r="K12" s="410">
        <f t="shared" ref="K12:K13" si="2">J12</f>
        <v>0</v>
      </c>
      <c r="L12" s="410">
        <f t="shared" ref="L12:L13" si="3">K12</f>
        <v>0</v>
      </c>
      <c r="M12" s="410">
        <f t="shared" ref="M12:M13" si="4">L12</f>
        <v>0</v>
      </c>
      <c r="N12" s="331"/>
      <c r="O12" s="500"/>
      <c r="P12" s="331"/>
      <c r="Q12" s="331"/>
      <c r="R12" s="331"/>
      <c r="S12" s="331"/>
      <c r="T12" s="331"/>
      <c r="U12" s="369"/>
    </row>
    <row r="13" spans="1:24" ht="12" customHeight="1" x14ac:dyDescent="0.2">
      <c r="A13" s="2"/>
      <c r="B13" s="1641" t="s">
        <v>76</v>
      </c>
      <c r="C13" s="1654">
        <v>0</v>
      </c>
      <c r="D13" s="792">
        <f>IF(D12=0,0,D11/D12)</f>
        <v>0</v>
      </c>
      <c r="E13" s="793">
        <f>D13+D13*J13</f>
        <v>0</v>
      </c>
      <c r="F13" s="793">
        <f t="shared" ref="F13" si="5">E13+E13*K13</f>
        <v>0</v>
      </c>
      <c r="G13" s="793">
        <f t="shared" si="0"/>
        <v>0</v>
      </c>
      <c r="H13" s="793">
        <f t="shared" si="1"/>
        <v>0</v>
      </c>
      <c r="J13" s="409">
        <v>0.02</v>
      </c>
      <c r="K13" s="410">
        <f t="shared" si="2"/>
        <v>0.02</v>
      </c>
      <c r="L13" s="410">
        <f t="shared" si="3"/>
        <v>0.02</v>
      </c>
      <c r="M13" s="410">
        <f t="shared" si="4"/>
        <v>0.02</v>
      </c>
      <c r="N13" s="331"/>
      <c r="O13" s="331"/>
      <c r="P13" s="331"/>
      <c r="Q13" s="331"/>
      <c r="R13" s="331"/>
      <c r="S13" s="331"/>
      <c r="T13" s="331"/>
      <c r="U13" s="369"/>
    </row>
    <row r="14" spans="1:24" ht="12" customHeight="1" x14ac:dyDescent="0.2">
      <c r="A14" s="55"/>
      <c r="B14" s="1641" t="s">
        <v>502</v>
      </c>
      <c r="C14" s="359"/>
      <c r="D14" s="794">
        <f>IF(D11=0,0,D15/D11)</f>
        <v>0</v>
      </c>
      <c r="E14" s="795">
        <f>D14</f>
        <v>0</v>
      </c>
      <c r="F14" s="795">
        <f>E14</f>
        <v>0</v>
      </c>
      <c r="G14" s="795">
        <f>F14</f>
        <v>0</v>
      </c>
      <c r="H14" s="795">
        <f>G14</f>
        <v>0</v>
      </c>
      <c r="J14" s="411"/>
      <c r="K14" s="529"/>
      <c r="L14" s="331"/>
      <c r="M14" s="331"/>
      <c r="N14" s="331"/>
      <c r="O14" s="331"/>
      <c r="P14" s="331"/>
      <c r="Q14" s="331"/>
      <c r="R14" s="331"/>
      <c r="S14" s="331"/>
      <c r="T14" s="331"/>
      <c r="U14" s="369"/>
    </row>
    <row r="15" spans="1:24" ht="12" customHeight="1" x14ac:dyDescent="0.2">
      <c r="B15" s="1641" t="s">
        <v>503</v>
      </c>
      <c r="C15" s="359" t="s">
        <v>726</v>
      </c>
      <c r="D15" s="610">
        <v>0</v>
      </c>
      <c r="E15" s="1223">
        <f>IF(E14=0,0,E11*E14)</f>
        <v>0</v>
      </c>
      <c r="F15" s="1223">
        <f>IF(F14=0,0,F11*F14)</f>
        <v>0</v>
      </c>
      <c r="G15" s="1223">
        <f>IF(G14=0,0,G11*G14)</f>
        <v>0</v>
      </c>
      <c r="H15" s="1223">
        <f>IF(H14=0,0,H11*H14)</f>
        <v>0</v>
      </c>
      <c r="J15" s="411"/>
      <c r="K15" s="331"/>
      <c r="L15" s="331"/>
      <c r="M15" s="331"/>
      <c r="N15" s="331"/>
      <c r="O15" s="331"/>
      <c r="P15" s="331"/>
      <c r="Q15" s="331"/>
      <c r="R15" s="331"/>
      <c r="S15" s="331"/>
      <c r="T15" s="331"/>
      <c r="U15" s="369"/>
    </row>
    <row r="16" spans="1:24" ht="12" customHeight="1" x14ac:dyDescent="0.2">
      <c r="B16" s="51"/>
      <c r="C16" s="76"/>
      <c r="D16" s="1634"/>
      <c r="E16" s="1617"/>
      <c r="F16" s="1617"/>
      <c r="G16" s="1617"/>
      <c r="H16" s="1617"/>
      <c r="J16" s="41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69"/>
    </row>
    <row r="17" spans="1:21" ht="12" customHeight="1" x14ac:dyDescent="0.2">
      <c r="B17" s="51"/>
      <c r="C17" s="76"/>
      <c r="D17" s="1636" t="s">
        <v>168</v>
      </c>
      <c r="E17" s="1648">
        <v>0.24</v>
      </c>
      <c r="F17" s="1648">
        <f>E17</f>
        <v>0.24</v>
      </c>
      <c r="G17" s="1648">
        <f>F17</f>
        <v>0.24</v>
      </c>
      <c r="H17" s="1649">
        <f>G17</f>
        <v>0.24</v>
      </c>
      <c r="J17" s="411"/>
      <c r="K17" s="496"/>
      <c r="L17" s="331"/>
      <c r="M17" s="331"/>
      <c r="N17" s="331"/>
      <c r="O17" s="331"/>
      <c r="P17" s="331"/>
      <c r="Q17" s="331"/>
      <c r="R17" s="331"/>
      <c r="S17" s="331"/>
      <c r="T17" s="331"/>
      <c r="U17" s="369"/>
    </row>
    <row r="18" spans="1:21" ht="12" customHeight="1" x14ac:dyDescent="0.2">
      <c r="B18" s="1640">
        <v>0</v>
      </c>
      <c r="C18" s="359" t="s">
        <v>726</v>
      </c>
      <c r="D18" s="610">
        <v>0</v>
      </c>
      <c r="E18" s="1223">
        <f>E19*E20</f>
        <v>0</v>
      </c>
      <c r="F18" s="1223">
        <f>F19*F20</f>
        <v>0</v>
      </c>
      <c r="G18" s="1223">
        <f>G19*G20</f>
        <v>0</v>
      </c>
      <c r="H18" s="1223">
        <f>H19*H20</f>
        <v>0</v>
      </c>
      <c r="J18" s="382">
        <f>E$8</f>
        <v>2024</v>
      </c>
      <c r="K18" s="297">
        <f>F$8</f>
        <v>2025</v>
      </c>
      <c r="L18" s="297">
        <f>G$8</f>
        <v>2026</v>
      </c>
      <c r="M18" s="297">
        <f>H$8</f>
        <v>2027</v>
      </c>
      <c r="N18" s="331"/>
      <c r="O18" s="331"/>
      <c r="P18" s="331"/>
      <c r="Q18" s="331"/>
      <c r="R18" s="331"/>
      <c r="S18" s="331"/>
      <c r="T18" s="331"/>
      <c r="U18" s="369"/>
    </row>
    <row r="19" spans="1:21" ht="12" customHeight="1" x14ac:dyDescent="0.2">
      <c r="B19" s="1641" t="s">
        <v>75</v>
      </c>
      <c r="C19" s="449"/>
      <c r="D19" s="610">
        <v>0</v>
      </c>
      <c r="E19" s="610">
        <f>D19+D19*J19</f>
        <v>0</v>
      </c>
      <c r="F19" s="610">
        <f>E19+E19*K19</f>
        <v>0</v>
      </c>
      <c r="G19" s="610">
        <f t="shared" ref="G19:G20" si="6">F19+F19*L19</f>
        <v>0</v>
      </c>
      <c r="H19" s="610">
        <f t="shared" ref="H19:H20" si="7">G19+G19*M19</f>
        <v>0</v>
      </c>
      <c r="J19" s="409">
        <v>0</v>
      </c>
      <c r="K19" s="410">
        <f t="shared" ref="K19:K20" si="8">J19</f>
        <v>0</v>
      </c>
      <c r="L19" s="410">
        <f t="shared" ref="L19:L20" si="9">K19</f>
        <v>0</v>
      </c>
      <c r="M19" s="410">
        <f t="shared" ref="M19:M20" si="10">L19</f>
        <v>0</v>
      </c>
      <c r="N19" s="331"/>
      <c r="O19" s="331"/>
      <c r="P19" s="331"/>
      <c r="Q19" s="331"/>
      <c r="R19" s="331"/>
      <c r="S19" s="331"/>
      <c r="T19" s="331"/>
      <c r="U19" s="369"/>
    </row>
    <row r="20" spans="1:21" ht="12" customHeight="1" x14ac:dyDescent="0.2">
      <c r="B20" s="1641" t="s">
        <v>76</v>
      </c>
      <c r="C20" s="449"/>
      <c r="D20" s="792">
        <f>IF(D19=0,0,D18/D19)</f>
        <v>0</v>
      </c>
      <c r="E20" s="793">
        <f>D20+D20*J20</f>
        <v>0</v>
      </c>
      <c r="F20" s="793">
        <f t="shared" ref="F20" si="11">E20+E20*K20</f>
        <v>0</v>
      </c>
      <c r="G20" s="793">
        <f t="shared" si="6"/>
        <v>0</v>
      </c>
      <c r="H20" s="793">
        <f t="shared" si="7"/>
        <v>0</v>
      </c>
      <c r="J20" s="409">
        <v>0.02</v>
      </c>
      <c r="K20" s="410">
        <f t="shared" si="8"/>
        <v>0.02</v>
      </c>
      <c r="L20" s="410">
        <f t="shared" si="9"/>
        <v>0.02</v>
      </c>
      <c r="M20" s="410">
        <f t="shared" si="10"/>
        <v>0.02</v>
      </c>
      <c r="N20" s="331"/>
      <c r="O20" s="331"/>
      <c r="P20" s="331"/>
      <c r="Q20" s="331"/>
      <c r="R20" s="331"/>
      <c r="S20" s="331"/>
      <c r="T20" s="331"/>
      <c r="U20" s="369"/>
    </row>
    <row r="21" spans="1:21" ht="12" customHeight="1" x14ac:dyDescent="0.2">
      <c r="B21" s="1641" t="s">
        <v>502</v>
      </c>
      <c r="C21" s="359"/>
      <c r="D21" s="794">
        <f>IF(D18=0,0,D22/D18)</f>
        <v>0</v>
      </c>
      <c r="E21" s="795">
        <f>D21</f>
        <v>0</v>
      </c>
      <c r="F21" s="795">
        <f>E21</f>
        <v>0</v>
      </c>
      <c r="G21" s="795">
        <f>F21</f>
        <v>0</v>
      </c>
      <c r="H21" s="795">
        <f>G21</f>
        <v>0</v>
      </c>
      <c r="J21" s="411"/>
      <c r="K21" s="529"/>
      <c r="L21" s="331"/>
      <c r="M21" s="331"/>
      <c r="N21" s="331"/>
      <c r="O21" s="331"/>
      <c r="P21" s="331"/>
      <c r="Q21" s="331"/>
      <c r="R21" s="331"/>
      <c r="S21" s="331"/>
      <c r="T21" s="331"/>
      <c r="U21" s="369"/>
    </row>
    <row r="22" spans="1:21" ht="12" customHeight="1" x14ac:dyDescent="0.2">
      <c r="B22" s="1641" t="s">
        <v>503</v>
      </c>
      <c r="C22" s="359" t="s">
        <v>726</v>
      </c>
      <c r="D22" s="610">
        <v>0</v>
      </c>
      <c r="E22" s="1223">
        <f>IF(E21=0,0,E18*E21)</f>
        <v>0</v>
      </c>
      <c r="F22" s="1223">
        <f>IF(F21=0,0,F18*F21)</f>
        <v>0</v>
      </c>
      <c r="G22" s="1223">
        <f>IF(G21=0,0,G18*G21)</f>
        <v>0</v>
      </c>
      <c r="H22" s="1223">
        <f>IF(H21=0,0,H18*H21)</f>
        <v>0</v>
      </c>
      <c r="J22" s="41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69"/>
    </row>
    <row r="23" spans="1:21" ht="12" customHeight="1" x14ac:dyDescent="0.2">
      <c r="B23" s="51"/>
      <c r="C23" s="76"/>
      <c r="D23" s="1634"/>
      <c r="E23" s="1617"/>
      <c r="F23" s="1617"/>
      <c r="G23" s="1617"/>
      <c r="H23" s="1617"/>
      <c r="J23" s="41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69"/>
    </row>
    <row r="24" spans="1:21" ht="12" customHeight="1" x14ac:dyDescent="0.2">
      <c r="A24" s="55"/>
      <c r="B24" s="51"/>
      <c r="C24" s="76"/>
      <c r="D24" s="1636" t="s">
        <v>168</v>
      </c>
      <c r="E24" s="1648">
        <v>0.24</v>
      </c>
      <c r="F24" s="1648">
        <f>E24</f>
        <v>0.24</v>
      </c>
      <c r="G24" s="1648">
        <f>F24</f>
        <v>0.24</v>
      </c>
      <c r="H24" s="1649">
        <f>G24</f>
        <v>0.24</v>
      </c>
      <c r="J24" s="411"/>
      <c r="K24" s="496"/>
      <c r="L24" s="331"/>
      <c r="M24" s="331"/>
      <c r="N24" s="331"/>
      <c r="O24" s="331"/>
      <c r="P24" s="331"/>
      <c r="Q24" s="331"/>
      <c r="R24" s="331"/>
      <c r="S24" s="331"/>
      <c r="T24" s="331"/>
      <c r="U24" s="369"/>
    </row>
    <row r="25" spans="1:21" ht="12" customHeight="1" x14ac:dyDescent="0.2">
      <c r="B25" s="1640">
        <v>0</v>
      </c>
      <c r="C25" s="359" t="s">
        <v>726</v>
      </c>
      <c r="D25" s="610">
        <v>0</v>
      </c>
      <c r="E25" s="1223">
        <f>E26*E27</f>
        <v>0</v>
      </c>
      <c r="F25" s="1223">
        <f>F26*F27</f>
        <v>0</v>
      </c>
      <c r="G25" s="1223">
        <f>G26*G27</f>
        <v>0</v>
      </c>
      <c r="H25" s="1223">
        <f>H26*H27</f>
        <v>0</v>
      </c>
      <c r="J25" s="382">
        <f>E$8</f>
        <v>2024</v>
      </c>
      <c r="K25" s="297">
        <f>F$8</f>
        <v>2025</v>
      </c>
      <c r="L25" s="297">
        <f>G$8</f>
        <v>2026</v>
      </c>
      <c r="M25" s="297">
        <f>H$8</f>
        <v>2027</v>
      </c>
      <c r="N25" s="331"/>
      <c r="O25" s="331"/>
      <c r="P25" s="331"/>
      <c r="Q25" s="331"/>
      <c r="R25" s="331"/>
      <c r="S25" s="331"/>
      <c r="T25" s="331"/>
      <c r="U25" s="369"/>
    </row>
    <row r="26" spans="1:21" ht="12" customHeight="1" x14ac:dyDescent="0.2">
      <c r="B26" s="1641" t="s">
        <v>75</v>
      </c>
      <c r="C26" s="449"/>
      <c r="D26" s="610">
        <v>0</v>
      </c>
      <c r="E26" s="610">
        <f>D26+D26*J26</f>
        <v>0</v>
      </c>
      <c r="F26" s="610">
        <f>E26+E26*K26</f>
        <v>0</v>
      </c>
      <c r="G26" s="610">
        <f t="shared" ref="G26:G27" si="12">F26+F26*L26</f>
        <v>0</v>
      </c>
      <c r="H26" s="610">
        <f t="shared" ref="H26:H27" si="13">G26+G26*M26</f>
        <v>0</v>
      </c>
      <c r="J26" s="409">
        <v>0</v>
      </c>
      <c r="K26" s="410">
        <f t="shared" ref="K26:K27" si="14">J26</f>
        <v>0</v>
      </c>
      <c r="L26" s="410">
        <f t="shared" ref="L26:L27" si="15">K26</f>
        <v>0</v>
      </c>
      <c r="M26" s="410">
        <f t="shared" ref="M26:M27" si="16">L26</f>
        <v>0</v>
      </c>
      <c r="N26" s="331"/>
      <c r="O26" s="331"/>
      <c r="P26" s="331"/>
      <c r="Q26" s="331"/>
      <c r="R26" s="331"/>
      <c r="S26" s="331"/>
      <c r="T26" s="331"/>
      <c r="U26" s="369"/>
    </row>
    <row r="27" spans="1:21" ht="12" customHeight="1" x14ac:dyDescent="0.2">
      <c r="B27" s="1641" t="s">
        <v>76</v>
      </c>
      <c r="C27" s="449"/>
      <c r="D27" s="792">
        <f>IF(D26=0,0,D25/D26)</f>
        <v>0</v>
      </c>
      <c r="E27" s="793">
        <f>D27+D27*J27</f>
        <v>0</v>
      </c>
      <c r="F27" s="793">
        <f t="shared" ref="F27" si="17">E27+E27*K27</f>
        <v>0</v>
      </c>
      <c r="G27" s="793">
        <f t="shared" si="12"/>
        <v>0</v>
      </c>
      <c r="H27" s="793">
        <f t="shared" si="13"/>
        <v>0</v>
      </c>
      <c r="J27" s="409">
        <v>0.02</v>
      </c>
      <c r="K27" s="410">
        <f t="shared" si="14"/>
        <v>0.02</v>
      </c>
      <c r="L27" s="410">
        <f t="shared" si="15"/>
        <v>0.02</v>
      </c>
      <c r="M27" s="410">
        <f t="shared" si="16"/>
        <v>0.02</v>
      </c>
      <c r="N27" s="331"/>
      <c r="O27" s="331"/>
      <c r="P27" s="331"/>
      <c r="Q27" s="331"/>
      <c r="R27" s="331"/>
      <c r="S27" s="331"/>
      <c r="T27" s="331"/>
      <c r="U27" s="369"/>
    </row>
    <row r="28" spans="1:21" ht="12" customHeight="1" x14ac:dyDescent="0.2">
      <c r="B28" s="1641" t="s">
        <v>502</v>
      </c>
      <c r="C28" s="359"/>
      <c r="D28" s="794">
        <f>IF(D25=0,0,D29/D25)</f>
        <v>0</v>
      </c>
      <c r="E28" s="795">
        <f>D28</f>
        <v>0</v>
      </c>
      <c r="F28" s="795">
        <f>E28</f>
        <v>0</v>
      </c>
      <c r="G28" s="795">
        <f>F28</f>
        <v>0</v>
      </c>
      <c r="H28" s="795">
        <f>G28</f>
        <v>0</v>
      </c>
      <c r="J28" s="325"/>
      <c r="K28" s="401"/>
      <c r="L28" s="326"/>
      <c r="M28" s="326"/>
      <c r="N28" s="331"/>
      <c r="O28" s="331"/>
      <c r="P28" s="331"/>
      <c r="Q28" s="331"/>
      <c r="R28" s="331"/>
      <c r="S28" s="331"/>
      <c r="T28" s="331"/>
      <c r="U28" s="369"/>
    </row>
    <row r="29" spans="1:21" ht="12" customHeight="1" x14ac:dyDescent="0.2">
      <c r="B29" s="1641" t="s">
        <v>503</v>
      </c>
      <c r="C29" s="359" t="s">
        <v>726</v>
      </c>
      <c r="D29" s="610">
        <v>0</v>
      </c>
      <c r="E29" s="1223">
        <f>IF(E28=0,0,E25*E28)</f>
        <v>0</v>
      </c>
      <c r="F29" s="1223">
        <f>IF(F28=0,0,F25*F28)</f>
        <v>0</v>
      </c>
      <c r="G29" s="1223">
        <f>IF(G28=0,0,G25*G28)</f>
        <v>0</v>
      </c>
      <c r="H29" s="1223">
        <f>IF(H28=0,0,H25*H28)</f>
        <v>0</v>
      </c>
      <c r="J29" s="325"/>
      <c r="K29" s="326"/>
      <c r="L29" s="326"/>
      <c r="M29" s="326"/>
      <c r="N29" s="331"/>
      <c r="O29" s="331"/>
      <c r="P29" s="331"/>
      <c r="Q29" s="331"/>
      <c r="R29" s="331"/>
      <c r="S29" s="331"/>
      <c r="T29" s="331"/>
      <c r="U29" s="369"/>
    </row>
    <row r="30" spans="1:21" ht="12" customHeight="1" x14ac:dyDescent="0.2">
      <c r="B30" s="51"/>
      <c r="C30" s="76"/>
      <c r="D30" s="1634"/>
      <c r="E30" s="1617"/>
      <c r="F30" s="1617"/>
      <c r="G30" s="1617"/>
      <c r="H30" s="1617"/>
      <c r="J30" s="325"/>
      <c r="K30" s="326"/>
      <c r="L30" s="326"/>
      <c r="M30" s="326"/>
      <c r="N30" s="331"/>
      <c r="O30" s="331"/>
      <c r="P30" s="331"/>
      <c r="Q30" s="331"/>
      <c r="R30" s="331"/>
      <c r="S30" s="331"/>
      <c r="T30" s="331"/>
      <c r="U30" s="369"/>
    </row>
    <row r="31" spans="1:21" ht="12" customHeight="1" x14ac:dyDescent="0.2">
      <c r="B31" s="51"/>
      <c r="C31" s="76"/>
      <c r="D31" s="1636" t="s">
        <v>168</v>
      </c>
      <c r="E31" s="685">
        <v>0.24</v>
      </c>
      <c r="F31" s="685">
        <f>E31</f>
        <v>0.24</v>
      </c>
      <c r="G31" s="685">
        <f>F31</f>
        <v>0.24</v>
      </c>
      <c r="H31" s="795">
        <f>G31</f>
        <v>0.24</v>
      </c>
      <c r="J31" s="325"/>
      <c r="K31" s="402"/>
      <c r="L31" s="326"/>
      <c r="M31" s="326"/>
      <c r="N31" s="331"/>
      <c r="O31" s="331"/>
      <c r="P31" s="331"/>
      <c r="Q31" s="331"/>
      <c r="R31" s="331"/>
      <c r="S31" s="331"/>
      <c r="T31" s="331"/>
      <c r="U31" s="369"/>
    </row>
    <row r="32" spans="1:21" ht="12" customHeight="1" x14ac:dyDescent="0.2">
      <c r="B32" s="1640">
        <v>0</v>
      </c>
      <c r="C32" s="358" t="s">
        <v>726</v>
      </c>
      <c r="D32" s="610">
        <v>0</v>
      </c>
      <c r="E32" s="791">
        <f>E33*E34</f>
        <v>0</v>
      </c>
      <c r="F32" s="791">
        <f>F33*F34</f>
        <v>0</v>
      </c>
      <c r="G32" s="618">
        <f>G33*G34</f>
        <v>0</v>
      </c>
      <c r="H32" s="1223">
        <f>H33*H34</f>
        <v>0</v>
      </c>
      <c r="J32" s="382">
        <f>E$8</f>
        <v>2024</v>
      </c>
      <c r="K32" s="297">
        <f>F$8</f>
        <v>2025</v>
      </c>
      <c r="L32" s="297">
        <f>G$8</f>
        <v>2026</v>
      </c>
      <c r="M32" s="297">
        <f>H$8</f>
        <v>2027</v>
      </c>
      <c r="N32" s="331"/>
      <c r="O32" s="331"/>
      <c r="P32" s="331"/>
      <c r="Q32" s="331"/>
      <c r="R32" s="331"/>
      <c r="S32" s="331"/>
      <c r="T32" s="331"/>
      <c r="U32" s="369"/>
    </row>
    <row r="33" spans="2:21" ht="12" customHeight="1" x14ac:dyDescent="0.2">
      <c r="B33" s="1641" t="s">
        <v>75</v>
      </c>
      <c r="C33" s="1654"/>
      <c r="D33" s="610">
        <v>0</v>
      </c>
      <c r="E33" s="610">
        <f>D33+D33*J33</f>
        <v>0</v>
      </c>
      <c r="F33" s="610">
        <f>E33+E33*K33</f>
        <v>0</v>
      </c>
      <c r="G33" s="610">
        <f t="shared" ref="F33:H34" si="18">F33+F33*L33</f>
        <v>0</v>
      </c>
      <c r="H33" s="608">
        <f t="shared" si="18"/>
        <v>0</v>
      </c>
      <c r="J33" s="409">
        <v>0</v>
      </c>
      <c r="K33" s="410">
        <f t="shared" ref="K33" si="19">J33</f>
        <v>0</v>
      </c>
      <c r="L33" s="410">
        <f t="shared" ref="L33" si="20">K33</f>
        <v>0</v>
      </c>
      <c r="M33" s="410">
        <f t="shared" ref="M33" si="21">L33</f>
        <v>0</v>
      </c>
      <c r="N33" s="331"/>
      <c r="O33" s="331"/>
      <c r="P33" s="331"/>
      <c r="Q33" s="331"/>
      <c r="R33" s="331"/>
      <c r="S33" s="331"/>
      <c r="T33" s="331"/>
      <c r="U33" s="369"/>
    </row>
    <row r="34" spans="2:21" ht="12" customHeight="1" x14ac:dyDescent="0.2">
      <c r="B34" s="1641" t="s">
        <v>76</v>
      </c>
      <c r="C34" s="1654"/>
      <c r="D34" s="792">
        <f>IF(D33=0,0,D32/D33)</f>
        <v>0</v>
      </c>
      <c r="E34" s="793">
        <f>D34+D34*J34</f>
        <v>0</v>
      </c>
      <c r="F34" s="793">
        <f t="shared" si="18"/>
        <v>0</v>
      </c>
      <c r="G34" s="797">
        <f t="shared" si="18"/>
        <v>0</v>
      </c>
      <c r="H34" s="793">
        <f t="shared" si="18"/>
        <v>0</v>
      </c>
      <c r="J34" s="409">
        <v>0.02</v>
      </c>
      <c r="K34" s="410">
        <f t="shared" ref="K34:M34" si="22">J34</f>
        <v>0.02</v>
      </c>
      <c r="L34" s="410">
        <f t="shared" si="22"/>
        <v>0.02</v>
      </c>
      <c r="M34" s="410">
        <f t="shared" si="22"/>
        <v>0.02</v>
      </c>
      <c r="N34" s="331"/>
      <c r="O34" s="331"/>
      <c r="P34" s="331"/>
      <c r="Q34" s="331"/>
      <c r="R34" s="331"/>
      <c r="S34" s="331"/>
      <c r="T34" s="331"/>
      <c r="U34" s="369"/>
    </row>
    <row r="35" spans="2:21" ht="12" customHeight="1" x14ac:dyDescent="0.2">
      <c r="B35" s="1641" t="s">
        <v>502</v>
      </c>
      <c r="C35" s="359"/>
      <c r="D35" s="794">
        <f>IF(D32=0,0,D36/D32)</f>
        <v>0</v>
      </c>
      <c r="E35" s="795">
        <f>D35</f>
        <v>0</v>
      </c>
      <c r="F35" s="795">
        <f>E35</f>
        <v>0</v>
      </c>
      <c r="G35" s="795">
        <f>F35</f>
        <v>0</v>
      </c>
      <c r="H35" s="795">
        <f>G35</f>
        <v>0</v>
      </c>
      <c r="J35" s="411"/>
      <c r="K35" s="529"/>
      <c r="L35" s="331"/>
      <c r="M35" s="331"/>
      <c r="N35" s="331"/>
      <c r="O35" s="331"/>
      <c r="P35" s="331"/>
      <c r="Q35" s="331"/>
      <c r="R35" s="331"/>
      <c r="S35" s="331"/>
      <c r="T35" s="331"/>
      <c r="U35" s="369"/>
    </row>
    <row r="36" spans="2:21" ht="12" customHeight="1" x14ac:dyDescent="0.2">
      <c r="B36" s="1641" t="s">
        <v>503</v>
      </c>
      <c r="C36" s="359" t="s">
        <v>726</v>
      </c>
      <c r="D36" s="610">
        <v>0</v>
      </c>
      <c r="E36" s="1223">
        <f>IF(E35=0,0,E32*E35)</f>
        <v>0</v>
      </c>
      <c r="F36" s="1223">
        <f>IF(F35=0,0,F32*F35)</f>
        <v>0</v>
      </c>
      <c r="G36" s="799">
        <f>IF(G35=0,0,G32*G35)</f>
        <v>0</v>
      </c>
      <c r="H36" s="1223">
        <f>IF(H35=0,0,H32*H35)</f>
        <v>0</v>
      </c>
      <c r="J36" s="41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69"/>
    </row>
    <row r="37" spans="2:21" ht="12" customHeight="1" x14ac:dyDescent="0.2">
      <c r="B37" s="51"/>
      <c r="C37" s="76"/>
      <c r="D37" s="1634"/>
      <c r="E37" s="1617"/>
      <c r="F37" s="1617"/>
      <c r="G37" s="1617"/>
      <c r="H37" s="1617"/>
      <c r="J37" s="411"/>
      <c r="K37" s="331"/>
      <c r="L37" s="331"/>
      <c r="M37" s="331"/>
      <c r="N37" s="331"/>
      <c r="O37" s="331"/>
      <c r="P37" s="331"/>
      <c r="Q37" s="331"/>
      <c r="R37" s="331"/>
      <c r="S37" s="331"/>
      <c r="T37" s="331"/>
      <c r="U37" s="369"/>
    </row>
    <row r="38" spans="2:21" ht="12" customHeight="1" x14ac:dyDescent="0.2">
      <c r="B38" s="51"/>
      <c r="C38" s="76"/>
      <c r="D38" s="1636" t="s">
        <v>168</v>
      </c>
      <c r="E38" s="685">
        <v>0.24</v>
      </c>
      <c r="F38" s="685">
        <f>E38</f>
        <v>0.24</v>
      </c>
      <c r="G38" s="685">
        <f>F38</f>
        <v>0.24</v>
      </c>
      <c r="H38" s="795">
        <f>G38</f>
        <v>0.24</v>
      </c>
      <c r="J38" s="411"/>
      <c r="K38" s="496"/>
      <c r="L38" s="331"/>
      <c r="M38" s="331"/>
      <c r="N38" s="331"/>
      <c r="O38" s="331"/>
      <c r="P38" s="331"/>
      <c r="Q38" s="331"/>
      <c r="R38" s="331"/>
      <c r="S38" s="331"/>
      <c r="T38" s="331"/>
      <c r="U38" s="369"/>
    </row>
    <row r="39" spans="2:21" ht="12" customHeight="1" x14ac:dyDescent="0.2">
      <c r="B39" s="1640">
        <v>0</v>
      </c>
      <c r="C39" s="358" t="s">
        <v>726</v>
      </c>
      <c r="D39" s="610">
        <v>0</v>
      </c>
      <c r="E39" s="791">
        <f>E40*E41</f>
        <v>0</v>
      </c>
      <c r="F39" s="791">
        <f>F40*F41</f>
        <v>0</v>
      </c>
      <c r="G39" s="799">
        <f>G40*G41</f>
        <v>0</v>
      </c>
      <c r="H39" s="1223">
        <f>H40*H41</f>
        <v>0</v>
      </c>
      <c r="J39" s="382">
        <f>E$8</f>
        <v>2024</v>
      </c>
      <c r="K39" s="297">
        <f>F$8</f>
        <v>2025</v>
      </c>
      <c r="L39" s="297">
        <f>G$8</f>
        <v>2026</v>
      </c>
      <c r="M39" s="297">
        <f>H$8</f>
        <v>2027</v>
      </c>
      <c r="N39" s="331"/>
      <c r="O39" s="331"/>
      <c r="P39" s="331"/>
      <c r="Q39" s="331"/>
      <c r="R39" s="331"/>
      <c r="S39" s="331"/>
      <c r="T39" s="331"/>
      <c r="U39" s="369"/>
    </row>
    <row r="40" spans="2:21" ht="12" customHeight="1" x14ac:dyDescent="0.2">
      <c r="B40" s="1641" t="s">
        <v>75</v>
      </c>
      <c r="C40" s="1654"/>
      <c r="D40" s="610">
        <v>0</v>
      </c>
      <c r="E40" s="610">
        <f t="shared" ref="E40:E41" si="23">D40+D40*J40</f>
        <v>0</v>
      </c>
      <c r="F40" s="610">
        <f>E40+E40*K40</f>
        <v>0</v>
      </c>
      <c r="G40" s="798">
        <f t="shared" ref="F40:H41" si="24">F40+F40*L40</f>
        <v>0</v>
      </c>
      <c r="H40" s="610">
        <f t="shared" si="24"/>
        <v>0</v>
      </c>
      <c r="J40" s="409">
        <v>0</v>
      </c>
      <c r="K40" s="410">
        <f t="shared" ref="K40:M41" si="25">J40</f>
        <v>0</v>
      </c>
      <c r="L40" s="410">
        <f t="shared" si="25"/>
        <v>0</v>
      </c>
      <c r="M40" s="410">
        <f t="shared" si="25"/>
        <v>0</v>
      </c>
      <c r="N40" s="331"/>
      <c r="O40" s="331"/>
      <c r="P40" s="331"/>
      <c r="Q40" s="331"/>
      <c r="R40" s="331"/>
      <c r="S40" s="331"/>
      <c r="T40" s="331"/>
      <c r="U40" s="369"/>
    </row>
    <row r="41" spans="2:21" ht="12" customHeight="1" x14ac:dyDescent="0.2">
      <c r="B41" s="1641" t="s">
        <v>76</v>
      </c>
      <c r="C41" s="1654"/>
      <c r="D41" s="792">
        <f>IF(D40=0,0,D39/D40)</f>
        <v>0</v>
      </c>
      <c r="E41" s="793">
        <f t="shared" si="23"/>
        <v>0</v>
      </c>
      <c r="F41" s="793">
        <f t="shared" si="24"/>
        <v>0</v>
      </c>
      <c r="G41" s="797">
        <f t="shared" si="24"/>
        <v>0</v>
      </c>
      <c r="H41" s="793">
        <f t="shared" si="24"/>
        <v>0</v>
      </c>
      <c r="J41" s="409">
        <v>0.02</v>
      </c>
      <c r="K41" s="410">
        <f t="shared" si="25"/>
        <v>0.02</v>
      </c>
      <c r="L41" s="410">
        <f t="shared" si="25"/>
        <v>0.02</v>
      </c>
      <c r="M41" s="410">
        <f t="shared" si="25"/>
        <v>0.02</v>
      </c>
      <c r="N41" s="331"/>
      <c r="O41" s="331"/>
      <c r="P41" s="331"/>
      <c r="Q41" s="331"/>
      <c r="R41" s="331"/>
      <c r="S41" s="331"/>
      <c r="T41" s="331"/>
      <c r="U41" s="369"/>
    </row>
    <row r="42" spans="2:21" ht="12" customHeight="1" x14ac:dyDescent="0.2">
      <c r="B42" s="1641" t="s">
        <v>502</v>
      </c>
      <c r="C42" s="359"/>
      <c r="D42" s="794">
        <f>IF(D39=0,0,D43/D39)</f>
        <v>0</v>
      </c>
      <c r="E42" s="795">
        <f>D42</f>
        <v>0</v>
      </c>
      <c r="F42" s="795">
        <f>E42</f>
        <v>0</v>
      </c>
      <c r="G42" s="795">
        <f>F42</f>
        <v>0</v>
      </c>
      <c r="H42" s="795">
        <f>G42</f>
        <v>0</v>
      </c>
      <c r="J42" s="411"/>
      <c r="K42" s="529"/>
      <c r="L42" s="331"/>
      <c r="M42" s="331"/>
      <c r="N42" s="331"/>
      <c r="O42" s="331"/>
      <c r="P42" s="331"/>
      <c r="Q42" s="331"/>
      <c r="R42" s="331"/>
      <c r="S42" s="331"/>
      <c r="T42" s="331"/>
      <c r="U42" s="369"/>
    </row>
    <row r="43" spans="2:21" ht="12" customHeight="1" x14ac:dyDescent="0.2">
      <c r="B43" s="1641" t="s">
        <v>503</v>
      </c>
      <c r="C43" s="359" t="s">
        <v>726</v>
      </c>
      <c r="D43" s="610">
        <v>0</v>
      </c>
      <c r="E43" s="1223">
        <f>IF(E42=0,0,E39*E42)</f>
        <v>0</v>
      </c>
      <c r="F43" s="1223">
        <f>IF(F42=0,0,F39*F42)</f>
        <v>0</v>
      </c>
      <c r="G43" s="799">
        <f>IF(G42=0,0,G39*G42)</f>
        <v>0</v>
      </c>
      <c r="H43" s="1223">
        <f>IF(H42=0,0,H39*H42)</f>
        <v>0</v>
      </c>
      <c r="J43" s="41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69"/>
    </row>
    <row r="44" spans="2:21" ht="12" customHeight="1" x14ac:dyDescent="0.2">
      <c r="B44" s="51"/>
      <c r="C44" s="76"/>
      <c r="D44" s="1634"/>
      <c r="E44" s="1617"/>
      <c r="F44" s="1617"/>
      <c r="G44" s="1617"/>
      <c r="H44" s="1617"/>
      <c r="J44" s="41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69"/>
    </row>
    <row r="45" spans="2:21" ht="12" customHeight="1" x14ac:dyDescent="0.2">
      <c r="B45" s="51"/>
      <c r="C45" s="76"/>
      <c r="D45" s="1636" t="s">
        <v>168</v>
      </c>
      <c r="E45" s="685">
        <v>0.24</v>
      </c>
      <c r="F45" s="685">
        <f>E45</f>
        <v>0.24</v>
      </c>
      <c r="G45" s="685">
        <f>F45</f>
        <v>0.24</v>
      </c>
      <c r="H45" s="795">
        <f>G45</f>
        <v>0.24</v>
      </c>
      <c r="J45" s="411"/>
      <c r="K45" s="496"/>
      <c r="L45" s="331"/>
      <c r="M45" s="331"/>
      <c r="N45" s="331"/>
      <c r="O45" s="331"/>
      <c r="P45" s="331"/>
      <c r="Q45" s="331"/>
      <c r="R45" s="331"/>
      <c r="S45" s="331"/>
      <c r="T45" s="331"/>
      <c r="U45" s="369"/>
    </row>
    <row r="46" spans="2:21" ht="12" customHeight="1" x14ac:dyDescent="0.2">
      <c r="B46" s="1640">
        <v>0</v>
      </c>
      <c r="C46" s="358" t="s">
        <v>726</v>
      </c>
      <c r="D46" s="610">
        <v>0</v>
      </c>
      <c r="E46" s="791">
        <f>E47*E48</f>
        <v>0</v>
      </c>
      <c r="F46" s="791">
        <f>F47*F48</f>
        <v>0</v>
      </c>
      <c r="G46" s="618">
        <f>G47*G48</f>
        <v>0</v>
      </c>
      <c r="H46" s="791">
        <f>H47*H48</f>
        <v>0</v>
      </c>
      <c r="J46" s="382">
        <f>E$8</f>
        <v>2024</v>
      </c>
      <c r="K46" s="297">
        <f>F$8</f>
        <v>2025</v>
      </c>
      <c r="L46" s="297">
        <f>G$8</f>
        <v>2026</v>
      </c>
      <c r="M46" s="297">
        <f>H$8</f>
        <v>2027</v>
      </c>
      <c r="N46" s="331"/>
      <c r="O46" s="331"/>
      <c r="P46" s="331"/>
      <c r="Q46" s="331"/>
      <c r="R46" s="331"/>
      <c r="S46" s="331"/>
      <c r="T46" s="331"/>
      <c r="U46" s="369"/>
    </row>
    <row r="47" spans="2:21" ht="12" customHeight="1" x14ac:dyDescent="0.2">
      <c r="B47" s="1641" t="s">
        <v>75</v>
      </c>
      <c r="C47" s="1654"/>
      <c r="D47" s="610">
        <v>0</v>
      </c>
      <c r="E47" s="610">
        <f t="shared" ref="E47:H48" si="26">D47+D47*J47</f>
        <v>0</v>
      </c>
      <c r="F47" s="610">
        <f t="shared" si="26"/>
        <v>0</v>
      </c>
      <c r="G47" s="798">
        <f t="shared" si="26"/>
        <v>0</v>
      </c>
      <c r="H47" s="610">
        <f t="shared" si="26"/>
        <v>0</v>
      </c>
      <c r="J47" s="409">
        <v>0</v>
      </c>
      <c r="K47" s="410">
        <f t="shared" ref="K47:M48" si="27">J47</f>
        <v>0</v>
      </c>
      <c r="L47" s="410">
        <f t="shared" si="27"/>
        <v>0</v>
      </c>
      <c r="M47" s="410">
        <f t="shared" si="27"/>
        <v>0</v>
      </c>
      <c r="N47" s="331"/>
      <c r="O47" s="331"/>
      <c r="P47" s="331"/>
      <c r="Q47" s="331"/>
      <c r="R47" s="331"/>
      <c r="S47" s="331"/>
      <c r="T47" s="331"/>
      <c r="U47" s="369"/>
    </row>
    <row r="48" spans="2:21" ht="12" customHeight="1" x14ac:dyDescent="0.2">
      <c r="B48" s="1641" t="s">
        <v>76</v>
      </c>
      <c r="C48" s="1654"/>
      <c r="D48" s="792">
        <f>IF(D47=0,0,D46/D47)</f>
        <v>0</v>
      </c>
      <c r="E48" s="793">
        <f t="shared" si="26"/>
        <v>0</v>
      </c>
      <c r="F48" s="793">
        <f t="shared" si="26"/>
        <v>0</v>
      </c>
      <c r="G48" s="797">
        <f t="shared" si="26"/>
        <v>0</v>
      </c>
      <c r="H48" s="793">
        <f t="shared" si="26"/>
        <v>0</v>
      </c>
      <c r="J48" s="409">
        <v>0.02</v>
      </c>
      <c r="K48" s="410">
        <f t="shared" si="27"/>
        <v>0.02</v>
      </c>
      <c r="L48" s="410">
        <f t="shared" si="27"/>
        <v>0.02</v>
      </c>
      <c r="M48" s="410">
        <f t="shared" si="27"/>
        <v>0.02</v>
      </c>
      <c r="N48" s="331"/>
      <c r="O48" s="331"/>
      <c r="P48" s="331"/>
      <c r="Q48" s="331"/>
      <c r="R48" s="331"/>
      <c r="S48" s="331"/>
      <c r="T48" s="331"/>
      <c r="U48" s="369"/>
    </row>
    <row r="49" spans="2:21" ht="12" customHeight="1" x14ac:dyDescent="0.2">
      <c r="B49" s="1641" t="s">
        <v>502</v>
      </c>
      <c r="C49" s="359"/>
      <c r="D49" s="794">
        <f>IF(D46=0,0,D50/D46)</f>
        <v>0</v>
      </c>
      <c r="E49" s="795">
        <f>D49</f>
        <v>0</v>
      </c>
      <c r="F49" s="795">
        <f>E49</f>
        <v>0</v>
      </c>
      <c r="G49" s="795">
        <f>F49</f>
        <v>0</v>
      </c>
      <c r="H49" s="795">
        <f>G49</f>
        <v>0</v>
      </c>
      <c r="J49" s="411"/>
      <c r="K49" s="529"/>
      <c r="L49" s="331"/>
      <c r="M49" s="331"/>
      <c r="N49" s="331"/>
      <c r="O49" s="331"/>
      <c r="P49" s="331"/>
      <c r="Q49" s="331"/>
      <c r="R49" s="331"/>
      <c r="S49" s="331"/>
      <c r="T49" s="331"/>
      <c r="U49" s="369"/>
    </row>
    <row r="50" spans="2:21" ht="12" customHeight="1" x14ac:dyDescent="0.2">
      <c r="B50" s="1641" t="s">
        <v>503</v>
      </c>
      <c r="C50" s="359" t="s">
        <v>726</v>
      </c>
      <c r="D50" s="610">
        <v>0</v>
      </c>
      <c r="E50" s="1223">
        <f>IF(E49=0,0,E46*E49)</f>
        <v>0</v>
      </c>
      <c r="F50" s="1223">
        <f>IF(F49=0,0,F46*F49)</f>
        <v>0</v>
      </c>
      <c r="G50" s="799">
        <f>IF(G49=0,0,G46*G49)</f>
        <v>0</v>
      </c>
      <c r="H50" s="1223">
        <f>IF(H49=0,0,H46*H49)</f>
        <v>0</v>
      </c>
      <c r="J50" s="411"/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69"/>
    </row>
    <row r="51" spans="2:21" ht="12" customHeight="1" x14ac:dyDescent="0.2">
      <c r="B51" s="51"/>
      <c r="C51" s="76"/>
      <c r="D51" s="1634"/>
      <c r="E51" s="1617"/>
      <c r="F51" s="1617"/>
      <c r="G51" s="1617"/>
      <c r="H51" s="1617"/>
      <c r="J51" s="411"/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69"/>
    </row>
    <row r="52" spans="2:21" ht="12" customHeight="1" x14ac:dyDescent="0.2">
      <c r="B52" s="51"/>
      <c r="C52" s="1637"/>
      <c r="D52" s="1636" t="s">
        <v>168</v>
      </c>
      <c r="E52" s="685">
        <v>0.24</v>
      </c>
      <c r="F52" s="685">
        <f>E52</f>
        <v>0.24</v>
      </c>
      <c r="G52" s="685">
        <f>F52</f>
        <v>0.24</v>
      </c>
      <c r="H52" s="795">
        <f>G52</f>
        <v>0.24</v>
      </c>
      <c r="J52" s="411"/>
      <c r="K52" s="496"/>
      <c r="L52" s="331"/>
      <c r="M52" s="331"/>
      <c r="N52" s="331"/>
      <c r="O52" s="331"/>
      <c r="P52" s="331"/>
      <c r="Q52" s="331"/>
      <c r="R52" s="331"/>
      <c r="S52" s="331"/>
      <c r="T52" s="331"/>
      <c r="U52" s="369"/>
    </row>
    <row r="53" spans="2:21" ht="12" customHeight="1" x14ac:dyDescent="0.2">
      <c r="B53" s="1640">
        <v>0</v>
      </c>
      <c r="C53" s="358" t="s">
        <v>726</v>
      </c>
      <c r="D53" s="610">
        <v>0</v>
      </c>
      <c r="E53" s="791">
        <f>E54*E55</f>
        <v>0</v>
      </c>
      <c r="F53" s="791">
        <f>F54*F55</f>
        <v>0</v>
      </c>
      <c r="G53" s="618">
        <f>G54*G55</f>
        <v>0</v>
      </c>
      <c r="H53" s="791">
        <f>H54*H55</f>
        <v>0</v>
      </c>
      <c r="J53" s="382">
        <f>E$8</f>
        <v>2024</v>
      </c>
      <c r="K53" s="297">
        <f>F$8</f>
        <v>2025</v>
      </c>
      <c r="L53" s="297">
        <f>G$8</f>
        <v>2026</v>
      </c>
      <c r="M53" s="297">
        <f>H$8</f>
        <v>2027</v>
      </c>
      <c r="N53" s="331"/>
      <c r="O53" s="331"/>
      <c r="P53" s="331"/>
      <c r="Q53" s="331"/>
      <c r="R53" s="331"/>
      <c r="S53" s="331"/>
      <c r="T53" s="331"/>
      <c r="U53" s="369"/>
    </row>
    <row r="54" spans="2:21" ht="12.75" customHeight="1" x14ac:dyDescent="0.2">
      <c r="B54" s="1641" t="s">
        <v>75</v>
      </c>
      <c r="C54" s="1654"/>
      <c r="D54" s="610">
        <v>0</v>
      </c>
      <c r="E54" s="610">
        <f t="shared" ref="E54:H55" si="28">D54+D54*J54</f>
        <v>0</v>
      </c>
      <c r="F54" s="610">
        <f t="shared" si="28"/>
        <v>0</v>
      </c>
      <c r="G54" s="798">
        <f t="shared" si="28"/>
        <v>0</v>
      </c>
      <c r="H54" s="610">
        <f t="shared" si="28"/>
        <v>0</v>
      </c>
      <c r="J54" s="409">
        <v>0</v>
      </c>
      <c r="K54" s="410">
        <f t="shared" ref="K54:M55" si="29">J54</f>
        <v>0</v>
      </c>
      <c r="L54" s="410">
        <f t="shared" si="29"/>
        <v>0</v>
      </c>
      <c r="M54" s="410">
        <f t="shared" si="29"/>
        <v>0</v>
      </c>
      <c r="N54" s="331"/>
      <c r="O54" s="331"/>
      <c r="P54" s="331"/>
      <c r="Q54" s="331"/>
      <c r="R54" s="331"/>
      <c r="S54" s="331"/>
      <c r="T54" s="331"/>
      <c r="U54" s="369"/>
    </row>
    <row r="55" spans="2:21" ht="12.75" customHeight="1" x14ac:dyDescent="0.2">
      <c r="B55" s="1641" t="s">
        <v>76</v>
      </c>
      <c r="C55" s="1654"/>
      <c r="D55" s="792">
        <f>IF(D54=0,0,D53/D54)</f>
        <v>0</v>
      </c>
      <c r="E55" s="793">
        <f t="shared" si="28"/>
        <v>0</v>
      </c>
      <c r="F55" s="793">
        <f t="shared" si="28"/>
        <v>0</v>
      </c>
      <c r="G55" s="793">
        <f t="shared" si="28"/>
        <v>0</v>
      </c>
      <c r="H55" s="793">
        <f t="shared" si="28"/>
        <v>0</v>
      </c>
      <c r="J55" s="409">
        <v>0.02</v>
      </c>
      <c r="K55" s="410">
        <f t="shared" si="29"/>
        <v>0.02</v>
      </c>
      <c r="L55" s="410">
        <f t="shared" si="29"/>
        <v>0.02</v>
      </c>
      <c r="M55" s="410">
        <f t="shared" si="29"/>
        <v>0.02</v>
      </c>
      <c r="N55" s="331"/>
      <c r="O55" s="331"/>
      <c r="P55" s="331"/>
      <c r="Q55" s="331"/>
      <c r="R55" s="331"/>
      <c r="S55" s="331"/>
      <c r="T55" s="331"/>
      <c r="U55" s="369"/>
    </row>
    <row r="56" spans="2:21" x14ac:dyDescent="0.2">
      <c r="B56" s="1641" t="s">
        <v>502</v>
      </c>
      <c r="C56" s="359"/>
      <c r="D56" s="794">
        <f>IF(D53=0,0,D57/D53)</f>
        <v>0</v>
      </c>
      <c r="E56" s="795">
        <f>D56</f>
        <v>0</v>
      </c>
      <c r="F56" s="795">
        <f>E56</f>
        <v>0</v>
      </c>
      <c r="G56" s="795">
        <f>F56</f>
        <v>0</v>
      </c>
      <c r="H56" s="795">
        <f>G56</f>
        <v>0</v>
      </c>
      <c r="J56" s="565"/>
      <c r="K56" s="174"/>
      <c r="L56" s="174"/>
      <c r="M56" s="174"/>
      <c r="N56" s="331"/>
      <c r="O56" s="331"/>
      <c r="P56" s="331"/>
      <c r="Q56" s="331"/>
      <c r="R56" s="331"/>
      <c r="S56" s="331"/>
      <c r="T56" s="331"/>
      <c r="U56" s="369"/>
    </row>
    <row r="57" spans="2:21" x14ac:dyDescent="0.2">
      <c r="B57" s="1641" t="s">
        <v>503</v>
      </c>
      <c r="C57" s="359" t="s">
        <v>726</v>
      </c>
      <c r="D57" s="610">
        <v>0</v>
      </c>
      <c r="E57" s="1223">
        <f>IF(E56=0,0,E53*E56)</f>
        <v>0</v>
      </c>
      <c r="F57" s="1223">
        <f>IF(F56=0,0,F53*F56)</f>
        <v>0</v>
      </c>
      <c r="G57" s="799">
        <f>IF(G56=0,0,G53*G56)</f>
        <v>0</v>
      </c>
      <c r="H57" s="1223">
        <f>IF(H56=0,0,H53*H56)</f>
        <v>0</v>
      </c>
      <c r="J57" s="367"/>
      <c r="K57" s="174"/>
      <c r="L57" s="174"/>
      <c r="M57" s="174"/>
      <c r="N57" s="331"/>
      <c r="O57" s="331"/>
      <c r="P57" s="331"/>
      <c r="Q57" s="331"/>
      <c r="R57" s="331"/>
      <c r="S57" s="331"/>
      <c r="T57" s="331"/>
      <c r="U57" s="369"/>
    </row>
    <row r="58" spans="2:21" x14ac:dyDescent="0.2">
      <c r="B58" s="51"/>
      <c r="C58" s="76"/>
      <c r="D58" s="1634"/>
      <c r="E58" s="1617"/>
      <c r="F58" s="1617"/>
      <c r="G58" s="1617"/>
      <c r="H58" s="1617"/>
      <c r="J58" s="367"/>
      <c r="K58" s="174"/>
      <c r="L58" s="174"/>
      <c r="M58" s="174"/>
      <c r="N58" s="331"/>
      <c r="O58" s="331"/>
      <c r="P58" s="331"/>
      <c r="Q58" s="331"/>
      <c r="R58" s="331"/>
      <c r="S58" s="331"/>
      <c r="T58" s="331"/>
      <c r="U58" s="369"/>
    </row>
    <row r="59" spans="2:21" ht="12" customHeight="1" x14ac:dyDescent="0.2">
      <c r="B59" s="174"/>
      <c r="C59" s="1638"/>
      <c r="D59" s="1636" t="s">
        <v>168</v>
      </c>
      <c r="E59" s="685">
        <v>0.24</v>
      </c>
      <c r="F59" s="685">
        <f>E59</f>
        <v>0.24</v>
      </c>
      <c r="G59" s="685">
        <f>F59</f>
        <v>0.24</v>
      </c>
      <c r="H59" s="795">
        <f>G59</f>
        <v>0.24</v>
      </c>
      <c r="J59" s="367"/>
      <c r="K59" s="174"/>
      <c r="L59" s="174"/>
      <c r="M59" s="174"/>
      <c r="N59" s="331"/>
      <c r="O59" s="331"/>
      <c r="P59" s="331"/>
      <c r="Q59" s="331"/>
      <c r="R59" s="331"/>
      <c r="S59" s="331"/>
      <c r="T59" s="331"/>
      <c r="U59" s="369"/>
    </row>
    <row r="60" spans="2:21" ht="12" customHeight="1" x14ac:dyDescent="0.2">
      <c r="B60" s="1640">
        <v>0</v>
      </c>
      <c r="C60" s="358" t="s">
        <v>726</v>
      </c>
      <c r="D60" s="610">
        <v>0</v>
      </c>
      <c r="E60" s="791">
        <f>E61*E62</f>
        <v>0</v>
      </c>
      <c r="F60" s="791">
        <f>F61*F62</f>
        <v>0</v>
      </c>
      <c r="G60" s="791">
        <f>G61*G62</f>
        <v>0</v>
      </c>
      <c r="H60" s="1223">
        <f>H61*H62</f>
        <v>0</v>
      </c>
      <c r="J60" s="382">
        <f>E$8</f>
        <v>2024</v>
      </c>
      <c r="K60" s="297">
        <f>F$8</f>
        <v>2025</v>
      </c>
      <c r="L60" s="297">
        <f>G$8</f>
        <v>2026</v>
      </c>
      <c r="M60" s="297">
        <f>H$8</f>
        <v>2027</v>
      </c>
      <c r="N60" s="331"/>
      <c r="O60" s="331"/>
      <c r="P60" s="331"/>
      <c r="Q60" s="331"/>
      <c r="R60" s="331"/>
      <c r="S60" s="331"/>
      <c r="T60" s="331"/>
      <c r="U60" s="369"/>
    </row>
    <row r="61" spans="2:21" ht="12" customHeight="1" x14ac:dyDescent="0.2">
      <c r="B61" s="1641" t="s">
        <v>75</v>
      </c>
      <c r="C61" s="1654"/>
      <c r="D61" s="610">
        <v>0</v>
      </c>
      <c r="E61" s="610">
        <f t="shared" ref="E61:H62" si="30">D61+D61*J61</f>
        <v>0</v>
      </c>
      <c r="F61" s="610">
        <f t="shared" si="30"/>
        <v>0</v>
      </c>
      <c r="G61" s="798">
        <f t="shared" si="30"/>
        <v>0</v>
      </c>
      <c r="H61" s="610">
        <f>G61+G61*M61</f>
        <v>0</v>
      </c>
      <c r="J61" s="409">
        <v>0</v>
      </c>
      <c r="K61" s="410">
        <f t="shared" ref="K61:M62" si="31">J61</f>
        <v>0</v>
      </c>
      <c r="L61" s="410">
        <f t="shared" si="31"/>
        <v>0</v>
      </c>
      <c r="M61" s="410">
        <f t="shared" si="31"/>
        <v>0</v>
      </c>
      <c r="N61" s="331"/>
      <c r="O61" s="331"/>
      <c r="P61" s="331"/>
      <c r="Q61" s="331"/>
      <c r="R61" s="331"/>
      <c r="S61" s="331"/>
      <c r="T61" s="331"/>
      <c r="U61" s="369"/>
    </row>
    <row r="62" spans="2:21" ht="12" customHeight="1" x14ac:dyDescent="0.2">
      <c r="B62" s="1641" t="s">
        <v>76</v>
      </c>
      <c r="C62" s="1654"/>
      <c r="D62" s="792">
        <f>IF(D61=0,0,D60/D61)</f>
        <v>0</v>
      </c>
      <c r="E62" s="793">
        <f t="shared" si="30"/>
        <v>0</v>
      </c>
      <c r="F62" s="793">
        <f t="shared" si="30"/>
        <v>0</v>
      </c>
      <c r="G62" s="793">
        <f t="shared" si="30"/>
        <v>0</v>
      </c>
      <c r="H62" s="793">
        <f t="shared" si="30"/>
        <v>0</v>
      </c>
      <c r="J62" s="409">
        <v>0.02</v>
      </c>
      <c r="K62" s="410">
        <f t="shared" si="31"/>
        <v>0.02</v>
      </c>
      <c r="L62" s="410">
        <f t="shared" si="31"/>
        <v>0.02</v>
      </c>
      <c r="M62" s="410">
        <f t="shared" si="31"/>
        <v>0.02</v>
      </c>
      <c r="N62" s="331"/>
      <c r="O62" s="331"/>
      <c r="P62" s="331"/>
      <c r="Q62" s="331"/>
      <c r="R62" s="331"/>
      <c r="S62" s="331"/>
      <c r="T62" s="331"/>
      <c r="U62" s="369"/>
    </row>
    <row r="63" spans="2:21" ht="12" customHeight="1" x14ac:dyDescent="0.2">
      <c r="B63" s="1641" t="s">
        <v>502</v>
      </c>
      <c r="C63" s="359"/>
      <c r="D63" s="794">
        <f>IF(D60=0,0,D64/D60)</f>
        <v>0</v>
      </c>
      <c r="E63" s="795">
        <f>D63</f>
        <v>0</v>
      </c>
      <c r="F63" s="795">
        <f>E63</f>
        <v>0</v>
      </c>
      <c r="G63" s="795">
        <f>F63</f>
        <v>0</v>
      </c>
      <c r="H63" s="795">
        <f>G63</f>
        <v>0</v>
      </c>
      <c r="J63" s="41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69"/>
    </row>
    <row r="64" spans="2:21" ht="12" customHeight="1" x14ac:dyDescent="0.2">
      <c r="B64" s="1641" t="s">
        <v>503</v>
      </c>
      <c r="C64" s="359" t="s">
        <v>726</v>
      </c>
      <c r="D64" s="610">
        <v>0</v>
      </c>
      <c r="E64" s="1223">
        <f>IF(E63=0,0,E60*E63)</f>
        <v>0</v>
      </c>
      <c r="F64" s="1223">
        <f>IF(F63=0,0,F60*F63)</f>
        <v>0</v>
      </c>
      <c r="G64" s="799">
        <f>IF(G63=0,0,G60*G63)</f>
        <v>0</v>
      </c>
      <c r="H64" s="1223">
        <f>IF(H63=0,0,H60*H63)</f>
        <v>0</v>
      </c>
      <c r="J64" s="411"/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69"/>
    </row>
    <row r="65" spans="2:21" ht="12" customHeight="1" x14ac:dyDescent="0.2">
      <c r="B65" s="51"/>
      <c r="C65" s="76"/>
      <c r="D65" s="1634"/>
      <c r="E65" s="1617"/>
      <c r="F65" s="1617"/>
      <c r="G65" s="1617"/>
      <c r="H65" s="1617"/>
      <c r="J65" s="41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69"/>
    </row>
    <row r="66" spans="2:21" ht="12" customHeight="1" x14ac:dyDescent="0.2">
      <c r="B66" s="55"/>
      <c r="C66" s="1639"/>
      <c r="D66" s="1636" t="s">
        <v>168</v>
      </c>
      <c r="E66" s="685">
        <v>0.24</v>
      </c>
      <c r="F66" s="685">
        <f>E66</f>
        <v>0.24</v>
      </c>
      <c r="G66" s="685">
        <f>F66</f>
        <v>0.24</v>
      </c>
      <c r="H66" s="795">
        <f>G66</f>
        <v>0.24</v>
      </c>
      <c r="J66" s="411"/>
      <c r="K66" s="331"/>
      <c r="L66" s="331"/>
      <c r="M66" s="331"/>
      <c r="N66" s="331"/>
      <c r="O66" s="331"/>
      <c r="P66" s="331"/>
      <c r="Q66" s="331"/>
      <c r="R66" s="331"/>
      <c r="S66" s="331"/>
      <c r="T66" s="331"/>
      <c r="U66" s="369"/>
    </row>
    <row r="67" spans="2:21" ht="12" customHeight="1" x14ac:dyDescent="0.2">
      <c r="B67" s="1640">
        <v>0</v>
      </c>
      <c r="C67" s="428" t="s">
        <v>726</v>
      </c>
      <c r="D67" s="610">
        <v>0</v>
      </c>
      <c r="E67" s="791">
        <f>E68*E69</f>
        <v>0</v>
      </c>
      <c r="F67" s="791">
        <f>F68*F69</f>
        <v>0</v>
      </c>
      <c r="G67" s="618">
        <f>G68*G69</f>
        <v>0</v>
      </c>
      <c r="H67" s="791">
        <f>H68*H69</f>
        <v>0</v>
      </c>
      <c r="J67" s="382">
        <f>E$8</f>
        <v>2024</v>
      </c>
      <c r="K67" s="297">
        <f>F$8</f>
        <v>2025</v>
      </c>
      <c r="L67" s="297">
        <f>G$8</f>
        <v>2026</v>
      </c>
      <c r="M67" s="297">
        <f>H$8</f>
        <v>2027</v>
      </c>
      <c r="N67" s="331"/>
      <c r="O67" s="331"/>
      <c r="P67" s="331"/>
      <c r="Q67" s="331"/>
      <c r="R67" s="331"/>
      <c r="S67" s="331"/>
      <c r="T67" s="331"/>
      <c r="U67" s="369"/>
    </row>
    <row r="68" spans="2:21" ht="12" customHeight="1" x14ac:dyDescent="0.2">
      <c r="B68" s="1641" t="s">
        <v>75</v>
      </c>
      <c r="C68" s="1654"/>
      <c r="D68" s="610">
        <v>0</v>
      </c>
      <c r="E68" s="610">
        <f t="shared" ref="E68:H69" si="32">D68+D68*J68</f>
        <v>0</v>
      </c>
      <c r="F68" s="610">
        <f t="shared" si="32"/>
        <v>0</v>
      </c>
      <c r="G68" s="798">
        <f t="shared" si="32"/>
        <v>0</v>
      </c>
      <c r="H68" s="610">
        <f t="shared" si="32"/>
        <v>0</v>
      </c>
      <c r="J68" s="409">
        <v>0</v>
      </c>
      <c r="K68" s="410">
        <f t="shared" ref="K68:M69" si="33">J68</f>
        <v>0</v>
      </c>
      <c r="L68" s="410">
        <f t="shared" si="33"/>
        <v>0</v>
      </c>
      <c r="M68" s="410">
        <f t="shared" si="33"/>
        <v>0</v>
      </c>
      <c r="N68" s="331"/>
      <c r="O68" s="331"/>
      <c r="P68" s="331"/>
      <c r="Q68" s="331"/>
      <c r="R68" s="331"/>
      <c r="S68" s="331"/>
      <c r="T68" s="331"/>
      <c r="U68" s="369"/>
    </row>
    <row r="69" spans="2:21" ht="12" customHeight="1" x14ac:dyDescent="0.2">
      <c r="B69" s="1641" t="s">
        <v>76</v>
      </c>
      <c r="C69" s="1654"/>
      <c r="D69" s="792">
        <f>IF(D68=0,0,D67/D68)</f>
        <v>0</v>
      </c>
      <c r="E69" s="793">
        <f t="shared" si="32"/>
        <v>0</v>
      </c>
      <c r="F69" s="793">
        <f t="shared" si="32"/>
        <v>0</v>
      </c>
      <c r="G69" s="793">
        <f t="shared" si="32"/>
        <v>0</v>
      </c>
      <c r="H69" s="793">
        <f t="shared" si="32"/>
        <v>0</v>
      </c>
      <c r="J69" s="409">
        <v>0.02</v>
      </c>
      <c r="K69" s="410">
        <f t="shared" si="33"/>
        <v>0.02</v>
      </c>
      <c r="L69" s="410">
        <f t="shared" si="33"/>
        <v>0.02</v>
      </c>
      <c r="M69" s="410">
        <f t="shared" si="33"/>
        <v>0.02</v>
      </c>
      <c r="N69" s="331"/>
      <c r="O69" s="331"/>
      <c r="P69" s="331"/>
      <c r="Q69" s="331"/>
      <c r="R69" s="331"/>
      <c r="S69" s="331"/>
      <c r="T69" s="331"/>
      <c r="U69" s="369"/>
    </row>
    <row r="70" spans="2:21" ht="12" customHeight="1" x14ac:dyDescent="0.2">
      <c r="B70" s="1641" t="s">
        <v>502</v>
      </c>
      <c r="C70" s="359"/>
      <c r="D70" s="794">
        <f>IF(D67=0,0,D71/D67)</f>
        <v>0</v>
      </c>
      <c r="E70" s="795">
        <f>D70</f>
        <v>0</v>
      </c>
      <c r="F70" s="795">
        <f>E70</f>
        <v>0</v>
      </c>
      <c r="G70" s="795">
        <f>F70</f>
        <v>0</v>
      </c>
      <c r="H70" s="795">
        <f>G70</f>
        <v>0</v>
      </c>
      <c r="J70" s="411">
        <v>0</v>
      </c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69"/>
    </row>
    <row r="71" spans="2:21" ht="12" customHeight="1" x14ac:dyDescent="0.2">
      <c r="B71" s="1641" t="s">
        <v>503</v>
      </c>
      <c r="C71" s="359" t="s">
        <v>726</v>
      </c>
      <c r="D71" s="610">
        <v>0</v>
      </c>
      <c r="E71" s="1223">
        <f>IF(E70=0,0,E67*E70)</f>
        <v>0</v>
      </c>
      <c r="F71" s="1223">
        <f>IF(F70=0,0,F67*F70)</f>
        <v>0</v>
      </c>
      <c r="G71" s="799">
        <f>IF(G70=0,0,G67*G70)</f>
        <v>0</v>
      </c>
      <c r="H71" s="1223">
        <f>IF(H70=0,0,H67*H70)</f>
        <v>0</v>
      </c>
      <c r="J71" s="41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69"/>
    </row>
    <row r="72" spans="2:21" ht="12" customHeight="1" x14ac:dyDescent="0.2">
      <c r="B72" s="51"/>
      <c r="C72" s="76"/>
      <c r="D72" s="1634"/>
      <c r="E72" s="1617"/>
      <c r="F72" s="1617"/>
      <c r="G72" s="1617"/>
      <c r="H72" s="1617"/>
      <c r="J72" s="411"/>
      <c r="K72" s="331"/>
      <c r="L72" s="331"/>
      <c r="M72" s="331"/>
      <c r="N72" s="331"/>
      <c r="O72" s="331"/>
      <c r="P72" s="331"/>
      <c r="Q72" s="331"/>
      <c r="R72" s="331"/>
      <c r="S72" s="331"/>
      <c r="T72" s="331"/>
      <c r="U72" s="369"/>
    </row>
    <row r="73" spans="2:21" ht="12" customHeight="1" x14ac:dyDescent="0.2">
      <c r="B73" s="55"/>
      <c r="C73" s="84"/>
      <c r="D73" s="1636" t="s">
        <v>168</v>
      </c>
      <c r="E73" s="685">
        <v>0.24</v>
      </c>
      <c r="F73" s="685">
        <f>E73</f>
        <v>0.24</v>
      </c>
      <c r="G73" s="685">
        <f>F73</f>
        <v>0.24</v>
      </c>
      <c r="H73" s="795">
        <f>G73</f>
        <v>0.24</v>
      </c>
      <c r="J73" s="411"/>
      <c r="K73" s="331"/>
      <c r="L73" s="331"/>
      <c r="M73" s="331"/>
      <c r="N73" s="331"/>
      <c r="O73" s="331"/>
      <c r="P73" s="331"/>
      <c r="Q73" s="331"/>
      <c r="R73" s="331"/>
      <c r="S73" s="331"/>
      <c r="T73" s="331"/>
      <c r="U73" s="369"/>
    </row>
    <row r="74" spans="2:21" ht="12" customHeight="1" x14ac:dyDescent="0.2">
      <c r="B74" s="1640" t="s">
        <v>578</v>
      </c>
      <c r="C74" s="358" t="s">
        <v>726</v>
      </c>
      <c r="D74" s="610">
        <v>0</v>
      </c>
      <c r="E74" s="800">
        <f>E75*E76</f>
        <v>0</v>
      </c>
      <c r="F74" s="800">
        <f>F75*F76</f>
        <v>0</v>
      </c>
      <c r="G74" s="801">
        <f>G75*G76</f>
        <v>0</v>
      </c>
      <c r="H74" s="800">
        <f>H75*H76</f>
        <v>0</v>
      </c>
      <c r="J74" s="382">
        <f>E$8</f>
        <v>2024</v>
      </c>
      <c r="K74" s="297">
        <f>F$8</f>
        <v>2025</v>
      </c>
      <c r="L74" s="297">
        <f>G$8</f>
        <v>2026</v>
      </c>
      <c r="M74" s="297">
        <f>H$8</f>
        <v>2027</v>
      </c>
      <c r="N74" s="331"/>
      <c r="O74" s="331"/>
      <c r="P74" s="331"/>
      <c r="Q74" s="331"/>
      <c r="R74" s="331"/>
      <c r="S74" s="331"/>
      <c r="T74" s="331"/>
      <c r="U74" s="369"/>
    </row>
    <row r="75" spans="2:21" ht="12" customHeight="1" x14ac:dyDescent="0.2">
      <c r="B75" s="1641" t="s">
        <v>75</v>
      </c>
      <c r="C75" s="1654">
        <v>0</v>
      </c>
      <c r="D75" s="610">
        <v>0</v>
      </c>
      <c r="E75" s="610">
        <f t="shared" ref="E75" si="34">D75+D75*J75</f>
        <v>0</v>
      </c>
      <c r="F75" s="610">
        <f t="shared" ref="E75:H76" si="35">E75+E75*K75</f>
        <v>0</v>
      </c>
      <c r="G75" s="798">
        <f t="shared" si="35"/>
        <v>0</v>
      </c>
      <c r="H75" s="610">
        <f t="shared" si="35"/>
        <v>0</v>
      </c>
      <c r="J75" s="409">
        <v>0</v>
      </c>
      <c r="K75" s="410">
        <f t="shared" ref="K75:M76" si="36">J75</f>
        <v>0</v>
      </c>
      <c r="L75" s="410">
        <f t="shared" si="36"/>
        <v>0</v>
      </c>
      <c r="M75" s="410">
        <f t="shared" si="36"/>
        <v>0</v>
      </c>
      <c r="N75" s="331"/>
      <c r="O75" s="331"/>
      <c r="P75" s="331"/>
      <c r="Q75" s="331"/>
      <c r="R75" s="331"/>
      <c r="S75" s="331"/>
      <c r="T75" s="331"/>
      <c r="U75" s="369"/>
    </row>
    <row r="76" spans="2:21" ht="12" customHeight="1" x14ac:dyDescent="0.2">
      <c r="B76" s="1641" t="s">
        <v>76</v>
      </c>
      <c r="C76" s="1654">
        <v>0</v>
      </c>
      <c r="D76" s="792">
        <f>IF(D75=0,0,D74/D75)</f>
        <v>0</v>
      </c>
      <c r="E76" s="793">
        <f t="shared" si="35"/>
        <v>0</v>
      </c>
      <c r="F76" s="793">
        <f t="shared" si="35"/>
        <v>0</v>
      </c>
      <c r="G76" s="793">
        <f t="shared" si="35"/>
        <v>0</v>
      </c>
      <c r="H76" s="793">
        <f t="shared" si="35"/>
        <v>0</v>
      </c>
      <c r="J76" s="409">
        <v>0.02</v>
      </c>
      <c r="K76" s="410">
        <f t="shared" si="36"/>
        <v>0.02</v>
      </c>
      <c r="L76" s="410">
        <f t="shared" si="36"/>
        <v>0.02</v>
      </c>
      <c r="M76" s="410">
        <f t="shared" si="36"/>
        <v>0.02</v>
      </c>
      <c r="N76" s="331"/>
      <c r="O76" s="331"/>
      <c r="P76" s="331"/>
      <c r="Q76" s="331"/>
      <c r="R76" s="331"/>
      <c r="S76" s="331"/>
      <c r="T76" s="331"/>
      <c r="U76" s="369"/>
    </row>
    <row r="77" spans="2:21" ht="12" customHeight="1" x14ac:dyDescent="0.2">
      <c r="B77" s="1641" t="s">
        <v>502</v>
      </c>
      <c r="C77" s="359"/>
      <c r="D77" s="794">
        <f>IF(D74=0,0,D78/D74)</f>
        <v>0</v>
      </c>
      <c r="E77" s="795">
        <f>D77</f>
        <v>0</v>
      </c>
      <c r="F77" s="795">
        <f>E77</f>
        <v>0</v>
      </c>
      <c r="G77" s="795">
        <f>F77</f>
        <v>0</v>
      </c>
      <c r="H77" s="795">
        <f>G77</f>
        <v>0</v>
      </c>
      <c r="J77" s="41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69"/>
    </row>
    <row r="78" spans="2:21" ht="12" customHeight="1" x14ac:dyDescent="0.2">
      <c r="B78" s="1650" t="s">
        <v>503</v>
      </c>
      <c r="C78" s="1197" t="s">
        <v>726</v>
      </c>
      <c r="D78" s="1635">
        <v>0</v>
      </c>
      <c r="E78" s="1651">
        <f>IF(E77=0,0,E74*E77)</f>
        <v>0</v>
      </c>
      <c r="F78" s="1651">
        <f>IF(F77=0,0,F74*F77)</f>
        <v>0</v>
      </c>
      <c r="G78" s="1652">
        <f>IF(G77=0,0,G74*G77)</f>
        <v>0</v>
      </c>
      <c r="H78" s="1651">
        <f>IF(H77=0,0,H74*H77)</f>
        <v>0</v>
      </c>
      <c r="J78" s="411"/>
      <c r="K78" s="331"/>
      <c r="L78" s="331"/>
      <c r="M78" s="331"/>
      <c r="N78" s="331"/>
      <c r="O78" s="331"/>
      <c r="P78" s="331"/>
      <c r="Q78" s="331"/>
      <c r="R78" s="331"/>
      <c r="S78" s="331"/>
      <c r="T78" s="331"/>
      <c r="U78" s="369"/>
    </row>
    <row r="79" spans="2:21" ht="12.6" customHeight="1" x14ac:dyDescent="0.2">
      <c r="B79" s="1653" t="s">
        <v>77</v>
      </c>
      <c r="C79" s="429" t="s">
        <v>726</v>
      </c>
      <c r="D79" s="802">
        <f>(D11+D18+D25+D32+D39+D46+D53+D60+D67+D74)</f>
        <v>0</v>
      </c>
      <c r="E79" s="803">
        <f>(E11+E18+E25+E32+E39+E46+E53+E60+E67+E74)</f>
        <v>0</v>
      </c>
      <c r="F79" s="803">
        <f>(F11+F18+F25+F32+F39+F46+F53+F60+F67+F74)</f>
        <v>0</v>
      </c>
      <c r="G79" s="803">
        <f>(G11+G18+G25+G32+G39+G46+G53+G60+G67+G74)</f>
        <v>0</v>
      </c>
      <c r="H79" s="803">
        <f>(H11+H18+H25+H32+H39+H46+H53+H60+H67+H74)</f>
        <v>0</v>
      </c>
      <c r="J79" s="411"/>
      <c r="K79" s="331"/>
      <c r="L79" s="331"/>
      <c r="M79" s="331"/>
      <c r="N79" s="331"/>
      <c r="O79" s="331"/>
      <c r="P79" s="331"/>
      <c r="Q79" s="331"/>
      <c r="R79" s="331"/>
      <c r="S79" s="331"/>
      <c r="T79" s="331"/>
      <c r="U79" s="369"/>
    </row>
    <row r="80" spans="2:21" ht="12.6" customHeight="1" x14ac:dyDescent="0.2">
      <c r="B80" s="1653" t="s">
        <v>78</v>
      </c>
      <c r="C80" s="429" t="s">
        <v>726</v>
      </c>
      <c r="D80" s="802">
        <f>(D15+D22+D29+D36+D43+D50+D57+D64+D71+D78)</f>
        <v>0</v>
      </c>
      <c r="E80" s="803">
        <f>(E15+E22+E29+E36+E43+E50+E57+E64+E71+E78)</f>
        <v>0</v>
      </c>
      <c r="F80" s="803">
        <f>(F15+F22+F29+F36+F43+F50+F57+F64+F71+F78)</f>
        <v>0</v>
      </c>
      <c r="G80" s="803">
        <f>(G15+G22+G29+G36+G43+G50+G57+G64+G71+G78)</f>
        <v>0</v>
      </c>
      <c r="H80" s="803">
        <f>(H15+H22+H29+H36+H43+H50+H57+H64+H71+H78)</f>
        <v>0</v>
      </c>
      <c r="J80" s="411"/>
      <c r="K80" s="331"/>
      <c r="L80" s="331"/>
      <c r="M80" s="331"/>
      <c r="N80" s="331"/>
      <c r="O80" s="331"/>
      <c r="P80" s="331"/>
      <c r="Q80" s="331"/>
      <c r="R80" s="331"/>
      <c r="S80" s="331"/>
      <c r="T80" s="331"/>
      <c r="U80" s="369"/>
    </row>
    <row r="81" spans="2:21" ht="12.6" customHeight="1" x14ac:dyDescent="0.2">
      <c r="B81" s="1653" t="s">
        <v>79</v>
      </c>
      <c r="C81" s="429"/>
      <c r="D81" s="804">
        <f>IF(D80=0,0,D80/D79)</f>
        <v>0</v>
      </c>
      <c r="E81" s="805">
        <f>IF(E80=0,0,E80/E79)</f>
        <v>0</v>
      </c>
      <c r="F81" s="805">
        <f>IF(F80=0,0,F80/F79)</f>
        <v>0</v>
      </c>
      <c r="G81" s="805">
        <f>IF(G80=0,0,G80/G79)</f>
        <v>0</v>
      </c>
      <c r="H81" s="805">
        <f>IF(H80=0,0,H80/H79)</f>
        <v>0</v>
      </c>
      <c r="J81" s="411"/>
      <c r="K81" s="331"/>
      <c r="L81" s="331"/>
      <c r="M81" s="331"/>
      <c r="N81" s="331"/>
      <c r="O81" s="331"/>
      <c r="P81" s="331"/>
      <c r="Q81" s="331"/>
      <c r="R81" s="331"/>
      <c r="S81" s="331"/>
      <c r="T81" s="331"/>
      <c r="U81" s="369"/>
    </row>
    <row r="82" spans="2:21" ht="12.6" customHeight="1" thickBot="1" x14ac:dyDescent="0.25">
      <c r="B82" s="1653" t="s">
        <v>358</v>
      </c>
      <c r="C82" s="429" t="s">
        <v>726</v>
      </c>
      <c r="D82" s="806"/>
      <c r="E82" s="803">
        <f>(E10*E11+E17*E18+E24*E25+E31*E32+E38*E39+E45*E46+E52*E53+E59*E60+E66*E67+E73*E74)</f>
        <v>0</v>
      </c>
      <c r="F82" s="803">
        <f>(F10*F11+F17*F18+F24*F25+F31*F32+F38*F39+F45*F46+F52*F53+F59*F60+F66*F67+F73*F74)</f>
        <v>0</v>
      </c>
      <c r="G82" s="803">
        <f>(G10*G11+G17*G18+G24*G25+G31*G32+G38*G39+G45*G46+G52*G53+G59*G60+G66*G67+G73*G74)</f>
        <v>0</v>
      </c>
      <c r="H82" s="803">
        <f>(H10*H11+H17*H18+H24*H25+H31*H32+H38*H39+H45*H46+H52*H53+H59*H60+H66*H67+H73*H74)</f>
        <v>0</v>
      </c>
      <c r="J82" s="427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1"/>
    </row>
    <row r="83" spans="2:21" ht="12.6" customHeight="1" x14ac:dyDescent="0.2">
      <c r="B83" s="1653" t="s">
        <v>397</v>
      </c>
      <c r="C83" s="429" t="s">
        <v>726</v>
      </c>
      <c r="D83" s="806"/>
      <c r="E83" s="803">
        <f>E81*E82</f>
        <v>0</v>
      </c>
      <c r="F83" s="803">
        <f>F81*F82</f>
        <v>0</v>
      </c>
      <c r="G83" s="803">
        <f>G81*G82</f>
        <v>0</v>
      </c>
      <c r="H83" s="803">
        <f>H81*H82</f>
        <v>0</v>
      </c>
      <c r="J83" s="328"/>
      <c r="K83" s="328"/>
      <c r="L83" s="328"/>
      <c r="M83" s="328"/>
      <c r="N83" s="174"/>
      <c r="O83" s="174"/>
      <c r="P83" s="174"/>
      <c r="Q83" s="174"/>
      <c r="R83" s="174"/>
      <c r="S83" s="174"/>
      <c r="T83" s="174"/>
      <c r="U83" s="174"/>
    </row>
    <row r="84" spans="2:21" ht="3.95" customHeight="1" x14ac:dyDescent="0.2"/>
    <row r="85" spans="2:21" x14ac:dyDescent="0.2">
      <c r="B85" s="469" t="str">
        <f>IF(D14&lt;0,"VIRHE! MERKITSE AINEKÄYTTÖ + MERKKISENÄ!","")</f>
        <v/>
      </c>
      <c r="C85" s="426"/>
      <c r="D85" s="134"/>
      <c r="E85" s="134"/>
      <c r="F85" s="1884" t="str">
        <f>OHJE!I5</f>
        <v>Palvelun tarjoaa</v>
      </c>
      <c r="G85" s="1884"/>
      <c r="H85" s="1884"/>
    </row>
    <row r="86" spans="2:21" x14ac:dyDescent="0.2">
      <c r="B86" s="425" t="str">
        <f>'5. E1 KUSTANNUKSET '!B127</f>
        <v>YT22 Toimivan yrityksen tulossuunnitelma</v>
      </c>
      <c r="D86" s="134"/>
      <c r="E86" s="1877" t="str">
        <f>OHJE!H7</f>
        <v>Business Kuopio</v>
      </c>
      <c r="F86" s="1878"/>
      <c r="G86" s="1878"/>
      <c r="H86" s="1878"/>
    </row>
    <row r="87" spans="2:21" x14ac:dyDescent="0.2">
      <c r="B87" s="228"/>
    </row>
    <row r="88" spans="2:21" x14ac:dyDescent="0.2">
      <c r="B88" s="424" t="s">
        <v>336</v>
      </c>
    </row>
    <row r="89" spans="2:21" x14ac:dyDescent="0.2">
      <c r="B89" s="54" t="s">
        <v>337</v>
      </c>
    </row>
    <row r="90" spans="2:21" x14ac:dyDescent="0.2">
      <c r="B90" s="54" t="s">
        <v>338</v>
      </c>
    </row>
  </sheetData>
  <sheetProtection algorithmName="SHA-512" hashValue="Y3V1/ee9Q4wkMnKGrc1pU7B4e+Gsee0mWoZbrvZTrKy4/G+pDHfRQmpUGSyaEvxUVaQ/9Agl3+nWzyrJLxyvMA==" saltValue="avJef0Fyel8YLKPWo+8xvg==" spinCount="100000" sheet="1" objects="1" scenarios="1"/>
  <mergeCells count="7">
    <mergeCell ref="E86:H86"/>
    <mergeCell ref="B7:C8"/>
    <mergeCell ref="J10:M10"/>
    <mergeCell ref="J5:K5"/>
    <mergeCell ref="B9:C9"/>
    <mergeCell ref="F5:H5"/>
    <mergeCell ref="F85:H85"/>
  </mergeCells>
  <phoneticPr fontId="5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W87"/>
  <sheetViews>
    <sheetView showGridLines="0" showZeros="0" defaultGridColor="0" colorId="55" zoomScale="115" zoomScaleNormal="115" workbookViewId="0">
      <selection activeCell="H35" sqref="H35"/>
    </sheetView>
  </sheetViews>
  <sheetFormatPr defaultRowHeight="12.75" x14ac:dyDescent="0.2"/>
  <cols>
    <col min="1" max="1" width="10" customWidth="1"/>
    <col min="2" max="2" width="3.140625" style="42" customWidth="1"/>
    <col min="3" max="3" width="23.28515625" customWidth="1"/>
    <col min="4" max="4" width="8" customWidth="1"/>
    <col min="5" max="5" width="3.140625" customWidth="1"/>
    <col min="6" max="7" width="11.28515625" customWidth="1"/>
    <col min="8" max="11" width="11.42578125" customWidth="1"/>
    <col min="12" max="12" width="1.5703125" customWidth="1"/>
    <col min="13" max="14" width="10.7109375" customWidth="1"/>
    <col min="15" max="15" width="16.28515625" customWidth="1"/>
    <col min="16" max="21" width="11.42578125" customWidth="1"/>
    <col min="22" max="22" width="3.85546875" customWidth="1"/>
  </cols>
  <sheetData>
    <row r="1" spans="1:23" x14ac:dyDescent="0.2">
      <c r="P1" s="416"/>
    </row>
    <row r="2" spans="1:23" ht="15.75" x14ac:dyDescent="0.25">
      <c r="C2" s="94" t="s">
        <v>112</v>
      </c>
      <c r="G2" s="50"/>
      <c r="J2" s="62"/>
      <c r="K2" s="62"/>
      <c r="M2" s="94" t="s">
        <v>112</v>
      </c>
      <c r="N2" s="25"/>
      <c r="P2" s="417"/>
    </row>
    <row r="3" spans="1:23" ht="4.5" customHeight="1" x14ac:dyDescent="0.2">
      <c r="B3" s="1885"/>
      <c r="C3" s="1885"/>
      <c r="G3" s="588">
        <f>'2. &amp; 7. T2 TULOSSUUN. '!G3</f>
        <v>0</v>
      </c>
      <c r="M3" s="444"/>
      <c r="N3" s="444"/>
      <c r="P3" s="417"/>
    </row>
    <row r="4" spans="1:23" ht="7.5" customHeight="1" x14ac:dyDescent="0.2">
      <c r="B4" s="1885"/>
      <c r="C4" s="1885"/>
      <c r="H4" s="88">
        <v>0</v>
      </c>
      <c r="M4" s="1675"/>
      <c r="N4" s="1675"/>
      <c r="P4" s="418"/>
    </row>
    <row r="5" spans="1:23" s="47" customFormat="1" ht="9.9499999999999993" customHeight="1" x14ac:dyDescent="0.15">
      <c r="B5" s="50" t="s">
        <v>703</v>
      </c>
      <c r="C5" s="168"/>
      <c r="D5" s="168"/>
      <c r="E5" s="168"/>
      <c r="F5" s="168"/>
      <c r="G5" s="168"/>
      <c r="H5" s="1902"/>
      <c r="I5" s="1902"/>
      <c r="J5" s="1902"/>
      <c r="K5" s="1902"/>
      <c r="M5" s="50" t="s">
        <v>703</v>
      </c>
      <c r="N5" s="168"/>
      <c r="O5" s="168"/>
      <c r="P5" s="168"/>
      <c r="Q5" s="168"/>
      <c r="R5" s="1902"/>
      <c r="S5" s="1902"/>
      <c r="T5" s="1902"/>
      <c r="U5" s="1902"/>
    </row>
    <row r="6" spans="1:23" ht="15.75" customHeight="1" x14ac:dyDescent="0.2">
      <c r="B6" s="1893" t="str">
        <f>'2. &amp; 7. T2 TULOSSUUN. '!B5:D5</f>
        <v xml:space="preserve"> </v>
      </c>
      <c r="C6" s="1893"/>
      <c r="D6" s="1893"/>
      <c r="E6" s="1893"/>
      <c r="F6" s="1893"/>
      <c r="G6" s="597"/>
      <c r="H6" s="1903"/>
      <c r="I6" s="1903"/>
      <c r="J6" s="1903"/>
      <c r="K6" s="1903"/>
      <c r="M6" s="1893" t="str">
        <f>B6</f>
        <v xml:space="preserve"> </v>
      </c>
      <c r="N6" s="1893"/>
      <c r="O6" s="1893"/>
      <c r="P6" s="1893"/>
      <c r="Q6" s="597"/>
      <c r="R6" s="1903"/>
      <c r="S6" s="1903"/>
      <c r="T6" s="1903"/>
      <c r="U6" s="1903"/>
    </row>
    <row r="7" spans="1:23" s="47" customFormat="1" ht="14.25" customHeight="1" x14ac:dyDescent="0.15">
      <c r="B7" s="598" t="s">
        <v>530</v>
      </c>
      <c r="C7" s="599"/>
      <c r="D7" s="599"/>
      <c r="E7" s="599"/>
      <c r="F7" s="599"/>
      <c r="G7" s="599"/>
      <c r="H7" s="599"/>
      <c r="I7" s="599"/>
      <c r="J7" s="1894" t="s">
        <v>93</v>
      </c>
      <c r="K7" s="1894"/>
      <c r="M7" s="598" t="s">
        <v>530</v>
      </c>
      <c r="N7" s="599"/>
      <c r="O7" s="599"/>
      <c r="P7" s="599"/>
      <c r="Q7" s="599"/>
      <c r="R7" s="599"/>
      <c r="S7" s="599"/>
      <c r="T7" s="599" t="s">
        <v>93</v>
      </c>
      <c r="U7" s="599"/>
    </row>
    <row r="8" spans="1:23" ht="15" customHeight="1" x14ac:dyDescent="0.2">
      <c r="B8" s="1892">
        <f>'1. T1 INVESTOINTISUUN.'!B9:D9</f>
        <v>0</v>
      </c>
      <c r="C8" s="1892"/>
      <c r="D8" s="1892"/>
      <c r="E8" s="1892"/>
      <c r="F8" s="1892"/>
      <c r="G8" s="597"/>
      <c r="H8" s="817"/>
      <c r="I8" s="817"/>
      <c r="J8" s="595">
        <f>'1. T1 INVESTOINTISUUN.'!E4</f>
        <v>0</v>
      </c>
      <c r="K8" s="818"/>
      <c r="M8" s="1893">
        <f>B8</f>
        <v>0</v>
      </c>
      <c r="N8" s="1893"/>
      <c r="O8" s="1893"/>
      <c r="P8" s="1893"/>
      <c r="Q8" s="597"/>
      <c r="R8" s="600">
        <f>H8</f>
        <v>0</v>
      </c>
      <c r="S8" s="600"/>
      <c r="T8" s="595">
        <f>'1. T1 INVESTOINTISUUN.'!E4</f>
        <v>0</v>
      </c>
      <c r="U8" s="600"/>
    </row>
    <row r="9" spans="1:23" ht="11.25" customHeight="1" thickBot="1" x14ac:dyDescent="0.25">
      <c r="M9" s="522"/>
      <c r="N9" s="522"/>
      <c r="O9" s="522"/>
      <c r="P9" s="522"/>
      <c r="Q9" s="522"/>
      <c r="R9" s="522"/>
      <c r="S9" s="522"/>
      <c r="T9" s="522"/>
      <c r="U9" s="522"/>
    </row>
    <row r="10" spans="1:23" ht="12.75" customHeight="1" x14ac:dyDescent="0.2">
      <c r="B10" s="1912" t="s">
        <v>426</v>
      </c>
      <c r="C10" s="1913"/>
      <c r="D10" s="1913"/>
      <c r="E10" s="1914"/>
      <c r="F10" s="1270" t="str">
        <f>'3. T3 TASE '!F10</f>
        <v>Tot. tilikausi</v>
      </c>
      <c r="G10" s="1270" t="str">
        <f>'6. E2 LIIKEVAIHTO '!D7</f>
        <v>Tot. tilikausi</v>
      </c>
      <c r="H10" s="1270" t="str">
        <f>'1. T1 INVESTOINTISUUN.'!D15</f>
        <v>Ennuste 1</v>
      </c>
      <c r="I10" s="1270" t="str">
        <f>'6. E2 LIIKEVAIHTO '!F7</f>
        <v>Ennuste 2</v>
      </c>
      <c r="J10" s="1270" t="str">
        <f>'6. E2 LIIKEVAIHTO '!G7</f>
        <v>Ennuste 3</v>
      </c>
      <c r="K10" s="1272" t="s">
        <v>259</v>
      </c>
      <c r="M10" s="1906" t="s">
        <v>289</v>
      </c>
      <c r="N10" s="1907"/>
      <c r="O10" s="1908"/>
      <c r="P10" s="1270" t="str">
        <f t="shared" ref="P10:T11" si="0">F10</f>
        <v>Tot. tilikausi</v>
      </c>
      <c r="Q10" s="1270" t="str">
        <f t="shared" si="0"/>
        <v>Tot. tilikausi</v>
      </c>
      <c r="R10" s="1270" t="str">
        <f t="shared" si="0"/>
        <v>Ennuste 1</v>
      </c>
      <c r="S10" s="1270" t="str">
        <f t="shared" si="0"/>
        <v>Ennuste 2</v>
      </c>
      <c r="T10" s="1270" t="str">
        <f t="shared" si="0"/>
        <v>Ennuste 3</v>
      </c>
      <c r="U10" s="1272" t="s">
        <v>259</v>
      </c>
    </row>
    <row r="11" spans="1:23" ht="12.75" customHeight="1" thickBot="1" x14ac:dyDescent="0.3">
      <c r="B11" s="1915"/>
      <c r="C11" s="1916"/>
      <c r="D11" s="1916"/>
      <c r="E11" s="1917"/>
      <c r="F11" s="1274">
        <f>'3. T3 TASE '!F11</f>
        <v>2021</v>
      </c>
      <c r="G11" s="1331">
        <f>'6. E2 LIIKEVAIHTO '!D8</f>
        <v>2022</v>
      </c>
      <c r="H11" s="1331">
        <f>'6. E2 LIIKEVAIHTO '!E8</f>
        <v>2024</v>
      </c>
      <c r="I11" s="1331">
        <f>'6. E2 LIIKEVAIHTO '!F8</f>
        <v>2025</v>
      </c>
      <c r="J11" s="1331">
        <f>'6. E2 LIIKEVAIHTO '!G8</f>
        <v>2026</v>
      </c>
      <c r="K11" s="1332">
        <f>'1. T1 INVESTOINTISUUN.'!G16</f>
        <v>2027</v>
      </c>
      <c r="M11" s="1909"/>
      <c r="N11" s="1910"/>
      <c r="O11" s="1911"/>
      <c r="P11" s="1333">
        <f t="shared" si="0"/>
        <v>2021</v>
      </c>
      <c r="Q11" s="1333">
        <f t="shared" si="0"/>
        <v>2022</v>
      </c>
      <c r="R11" s="1333">
        <f t="shared" si="0"/>
        <v>2024</v>
      </c>
      <c r="S11" s="1333">
        <f t="shared" si="0"/>
        <v>2025</v>
      </c>
      <c r="T11" s="1333">
        <f t="shared" si="0"/>
        <v>2026</v>
      </c>
      <c r="U11" s="1334">
        <f>K11</f>
        <v>2027</v>
      </c>
      <c r="W11" s="1131"/>
    </row>
    <row r="12" spans="1:23" ht="12.75" customHeight="1" thickBot="1" x14ac:dyDescent="0.25">
      <c r="A12" s="55"/>
      <c r="B12" s="1918"/>
      <c r="C12" s="1919"/>
      <c r="D12" s="1919"/>
      <c r="E12" s="1920"/>
      <c r="F12" s="1335" t="s">
        <v>17</v>
      </c>
      <c r="G12" s="1335" t="s">
        <v>17</v>
      </c>
      <c r="H12" s="1335" t="str">
        <f>G12</f>
        <v>Euroa</v>
      </c>
      <c r="I12" s="1335" t="str">
        <f>H12</f>
        <v>Euroa</v>
      </c>
      <c r="J12" s="1335" t="str">
        <f>I12</f>
        <v>Euroa</v>
      </c>
      <c r="K12" s="1336" t="str">
        <f>J12</f>
        <v>Euroa</v>
      </c>
      <c r="M12" s="286" t="s">
        <v>553</v>
      </c>
      <c r="N12" s="163"/>
      <c r="O12" s="163"/>
      <c r="P12" s="283"/>
      <c r="Q12" s="283"/>
      <c r="R12" s="283"/>
      <c r="S12" s="283"/>
      <c r="T12" s="283"/>
      <c r="U12" s="284"/>
    </row>
    <row r="13" spans="1:23" ht="12.75" customHeight="1" x14ac:dyDescent="0.2">
      <c r="B13" s="1886" t="s">
        <v>352</v>
      </c>
      <c r="C13" s="1887"/>
      <c r="D13" s="1887"/>
      <c r="E13" s="1888"/>
      <c r="F13" s="771"/>
      <c r="G13" s="771"/>
      <c r="H13" s="771" t="s">
        <v>111</v>
      </c>
      <c r="I13" s="771"/>
      <c r="J13" s="771"/>
      <c r="K13" s="772"/>
      <c r="M13" s="534" t="s">
        <v>290</v>
      </c>
      <c r="N13" s="535"/>
      <c r="O13" s="535"/>
      <c r="P13" s="687">
        <f>'2. &amp; 7. T2 TULOSSUUN. '!E11</f>
        <v>0</v>
      </c>
      <c r="Q13" s="687">
        <f>'2. &amp; 7. T2 TULOSSUUN. '!G11</f>
        <v>0</v>
      </c>
      <c r="R13" s="687">
        <f>'2. &amp; 7. T2 TULOSSUUN. '!I11</f>
        <v>0</v>
      </c>
      <c r="S13" s="687">
        <f>'2. &amp; 7. T2 TULOSSUUN. '!K11</f>
        <v>0</v>
      </c>
      <c r="T13" s="687">
        <f>'2. &amp; 7. T2 TULOSSUUN. '!M11</f>
        <v>0</v>
      </c>
      <c r="U13" s="688">
        <f>'2. &amp; 7. T2 TULOSSUUN. '!O11</f>
        <v>0</v>
      </c>
    </row>
    <row r="14" spans="1:23" ht="12.75" customHeight="1" x14ac:dyDescent="0.2">
      <c r="A14" s="55"/>
      <c r="B14" s="1889"/>
      <c r="C14" s="1890"/>
      <c r="D14" s="1890"/>
      <c r="E14" s="1891"/>
      <c r="F14" s="773"/>
      <c r="G14" s="773"/>
      <c r="H14" s="773"/>
      <c r="I14" s="773"/>
      <c r="J14" s="773"/>
      <c r="K14" s="774"/>
      <c r="M14" s="536" t="s">
        <v>291</v>
      </c>
      <c r="N14" s="537"/>
      <c r="O14" s="537"/>
      <c r="P14" s="687">
        <f>IF('2. &amp; 7. T2 TULOSSUUN. '!E33=0,0,P13/'2. &amp; 7. T2 TULOSSUUN. '!E33)</f>
        <v>0</v>
      </c>
      <c r="Q14" s="687">
        <f>IF('2. &amp; 7. T2 TULOSSUUN. '!G33=0,0,Q13/'2. &amp; 7. T2 TULOSSUUN. '!G33)</f>
        <v>0</v>
      </c>
      <c r="R14" s="687">
        <f>IF('2. &amp; 7. T2 TULOSSUUN. '!I33=0,0,R13/'2. &amp; 7. T2 TULOSSUUN. '!I33)</f>
        <v>0</v>
      </c>
      <c r="S14" s="687">
        <f>IF('2. &amp; 7. T2 TULOSSUUN. '!K33=0,0,S13/'2. &amp; 7. T2 TULOSSUUN. '!K33)</f>
        <v>0</v>
      </c>
      <c r="T14" s="687">
        <f>IF('2. &amp; 7. T2 TULOSSUUN. '!M33=0,0,T13/'2. &amp; 7. T2 TULOSSUUN. '!M33)</f>
        <v>0</v>
      </c>
      <c r="U14" s="688">
        <f>IF('2. &amp; 7. T2 TULOSSUUN. '!O33=0,0,U13/'2. &amp; 7. T2 TULOSSUUN. '!O33)</f>
        <v>0</v>
      </c>
    </row>
    <row r="15" spans="1:23" ht="12.75" customHeight="1" x14ac:dyDescent="0.2">
      <c r="B15" s="203">
        <v>1</v>
      </c>
      <c r="C15" s="1785" t="s">
        <v>113</v>
      </c>
      <c r="D15" s="1785"/>
      <c r="E15" s="474" t="s">
        <v>89</v>
      </c>
      <c r="F15" s="445">
        <f>'2. &amp; 7. T2 TULOSSUUN. '!E26+'2. &amp; 7. T2 TULOSSUUN. '!E27-'2. &amp; 7. T2 TULOSSUUN. '!E21</f>
        <v>0</v>
      </c>
      <c r="G15" s="445">
        <f>'2. &amp; 7. T2 TULOSSUUN. '!G26+'2. &amp; 7. T2 TULOSSUUN. '!G27-'2. &amp; 7. T2 TULOSSUUN. '!G21</f>
        <v>0</v>
      </c>
      <c r="H15" s="775">
        <f>'2. &amp; 7. T2 TULOSSUUN. '!I26+'2. &amp; 7. T2 TULOSSUUN. '!I27-'2. &amp; 7. T2 TULOSSUUN. '!I21</f>
        <v>0</v>
      </c>
      <c r="I15" s="775">
        <f>'2. &amp; 7. T2 TULOSSUUN. '!K26+'2. &amp; 7. T2 TULOSSUUN. '!K27-'2. &amp; 7. T2 TULOSSUUN. '!K21</f>
        <v>0</v>
      </c>
      <c r="J15" s="775">
        <f>'2. &amp; 7. T2 TULOSSUUN. '!M26+'2. &amp; 7. T2 TULOSSUUN. '!M27-'2. &amp; 7. T2 TULOSSUUN. '!M21</f>
        <v>0</v>
      </c>
      <c r="K15" s="688">
        <f>'2. &amp; 7. T2 TULOSSUUN. '!O26+'2. &amp; 7. T2 TULOSSUUN. '!O27-'2. &amp; 7. T2 TULOSSUUN. '!O21</f>
        <v>0</v>
      </c>
      <c r="M15" s="536" t="s">
        <v>292</v>
      </c>
      <c r="N15" s="537"/>
      <c r="O15" s="537"/>
      <c r="P15" s="375">
        <f>'2. &amp; 7. T2 TULOSSUUN. '!E33</f>
        <v>1</v>
      </c>
      <c r="Q15" s="375">
        <f>'2. &amp; 7. T2 TULOSSUUN. '!G33</f>
        <v>1</v>
      </c>
      <c r="R15" s="375">
        <f>'2. &amp; 7. T2 TULOSSUUN. '!I33</f>
        <v>1</v>
      </c>
      <c r="S15" s="375">
        <f>'2. &amp; 7. T2 TULOSSUUN. '!K33</f>
        <v>1</v>
      </c>
      <c r="T15" s="375">
        <f>'2. &amp; 7. T2 TULOSSUUN. '!M33</f>
        <v>1</v>
      </c>
      <c r="U15" s="376">
        <f>'2. &amp; 7. T2 TULOSSUUN. '!O33</f>
        <v>1</v>
      </c>
    </row>
    <row r="16" spans="1:23" ht="12.75" customHeight="1" x14ac:dyDescent="0.2">
      <c r="A16" s="55"/>
      <c r="B16" s="203">
        <v>2</v>
      </c>
      <c r="C16" s="1759" t="s">
        <v>114</v>
      </c>
      <c r="D16" s="1759"/>
      <c r="E16" s="236" t="s">
        <v>89</v>
      </c>
      <c r="F16" s="770">
        <v>0</v>
      </c>
      <c r="G16" s="770">
        <v>0</v>
      </c>
      <c r="H16" s="687">
        <f>'1. T1 INVESTOINTISUUN.'!D46+'1. T1 INVESTOINTISUUN.'!D47</f>
        <v>0</v>
      </c>
      <c r="I16" s="687">
        <f>'1. T1 INVESTOINTISUUN.'!E46+'1. T1 INVESTOINTISUUN.'!E47</f>
        <v>0</v>
      </c>
      <c r="J16" s="687">
        <f>'1. T1 INVESTOINTISUUN.'!F46+'1. T1 INVESTOINTISUUN.'!F47</f>
        <v>0</v>
      </c>
      <c r="K16" s="688">
        <f>'1. T1 INVESTOINTISUUN.'!G46+'1. T1 INVESTOINTISUUN.'!G47</f>
        <v>0</v>
      </c>
      <c r="M16" s="1935" t="s">
        <v>295</v>
      </c>
      <c r="N16" s="1936"/>
      <c r="O16" s="1937"/>
      <c r="P16" s="687">
        <f>P82</f>
        <v>0</v>
      </c>
      <c r="Q16" s="687">
        <f t="shared" ref="Q16:U16" si="1">Q82</f>
        <v>0</v>
      </c>
      <c r="R16" s="687">
        <f t="shared" si="1"/>
        <v>0</v>
      </c>
      <c r="S16" s="687">
        <f t="shared" si="1"/>
        <v>0</v>
      </c>
      <c r="T16" s="687">
        <f t="shared" si="1"/>
        <v>0</v>
      </c>
      <c r="U16" s="688">
        <f t="shared" si="1"/>
        <v>0</v>
      </c>
    </row>
    <row r="17" spans="1:21" ht="12.75" customHeight="1" x14ac:dyDescent="0.2">
      <c r="A17" s="2"/>
      <c r="B17" s="203">
        <v>3</v>
      </c>
      <c r="C17" s="1759" t="s">
        <v>471</v>
      </c>
      <c r="D17" s="1759"/>
      <c r="E17" s="236" t="s">
        <v>89</v>
      </c>
      <c r="F17" s="770">
        <v>0</v>
      </c>
      <c r="G17" s="770">
        <v>0</v>
      </c>
      <c r="H17" s="687">
        <f>'4. T7 LAINAT '!F39+IF('3. T3 TASE '!H74-'3. T3 TASE '!G74&gt;0,'3. T3 TASE '!H74-'3. T3 TASE '!G74,0)+IF('3. T3 TASE '!H72-'3. T3 TASE '!G72&gt;0,'3. T3 TASE '!H72-'3. T3 TASE '!G72,0)</f>
        <v>0</v>
      </c>
      <c r="I17" s="687">
        <f>'4. T7 LAINAT '!I39+IF('3. T3 TASE '!I74-'3. T3 TASE '!H74&gt;0,'3. T3 TASE '!I74-'3. T3 TASE '!H74,0)+IF('3. T3 TASE '!I72-'3. T3 TASE '!H72&gt;0,'3. T3 TASE '!I72-'3. T3 TASE '!H72,0)</f>
        <v>0</v>
      </c>
      <c r="J17" s="687">
        <f>'4. T7 LAINAT '!L39+IF('3. T3 TASE '!J74-'3. T3 TASE '!I74&gt;0,'3. T3 TASE '!J74-'3. T3 TASE '!I74,0)+IF('3. T3 TASE '!J72-'3. T3 TASE '!I72&gt;0,'3. T3 TASE '!J72-'3. T3 TASE '!I72,0)</f>
        <v>0</v>
      </c>
      <c r="K17" s="688">
        <f>'4. T7 LAINAT '!O39+IF('3. T3 TASE '!K74-'3. T3 TASE '!J74&gt;0,'3. T3 TASE '!K74-'3. T3 TASE '!J74,0)+IF('3. T3 TASE '!K72-'3. T3 TASE '!J72&gt;0,'3. T3 TASE '!K72-'3. T3 TASE '!J72,0)</f>
        <v>0</v>
      </c>
      <c r="M17" s="173" t="s">
        <v>554</v>
      </c>
      <c r="N17" s="146"/>
      <c r="O17" s="146"/>
      <c r="P17" s="144"/>
      <c r="Q17" s="144"/>
      <c r="R17" s="144"/>
      <c r="S17" s="144"/>
      <c r="T17" s="148"/>
      <c r="U17" s="689"/>
    </row>
    <row r="18" spans="1:21" ht="12.75" customHeight="1" x14ac:dyDescent="0.2">
      <c r="A18" s="55"/>
      <c r="B18" s="203">
        <v>4</v>
      </c>
      <c r="C18" s="1759" t="s">
        <v>237</v>
      </c>
      <c r="D18" s="1759"/>
      <c r="E18" s="236" t="s">
        <v>89</v>
      </c>
      <c r="F18" s="770">
        <v>0</v>
      </c>
      <c r="G18" s="770">
        <v>0</v>
      </c>
      <c r="H18" s="687">
        <f>'4. T7 LAINAT '!F41</f>
        <v>0</v>
      </c>
      <c r="I18" s="687">
        <f>'4. T7 LAINAT '!I42</f>
        <v>0</v>
      </c>
      <c r="J18" s="687">
        <f>'4. T7 LAINAT '!L43</f>
        <v>0</v>
      </c>
      <c r="K18" s="688">
        <f>'4. T7 LAINAT '!O45</f>
        <v>0</v>
      </c>
      <c r="M18" s="534" t="s">
        <v>579</v>
      </c>
      <c r="N18" s="535"/>
      <c r="O18" s="535"/>
      <c r="P18" s="687">
        <f>'2. &amp; 7. T2 TULOSSUUN. '!E20</f>
        <v>0</v>
      </c>
      <c r="Q18" s="687">
        <f>'2. &amp; 7. T2 TULOSSUUN. '!G20</f>
        <v>0</v>
      </c>
      <c r="R18" s="687">
        <f>'2. &amp; 7. T2 TULOSSUUN. '!I20</f>
        <v>0</v>
      </c>
      <c r="S18" s="687">
        <f>'2. &amp; 7. T2 TULOSSUUN. '!K20</f>
        <v>0</v>
      </c>
      <c r="T18" s="687">
        <f>'2. &amp; 7. T2 TULOSSUUN. '!M20</f>
        <v>0</v>
      </c>
      <c r="U18" s="688">
        <f>'2. &amp; 7. T2 TULOSSUUN. '!O20</f>
        <v>0</v>
      </c>
    </row>
    <row r="19" spans="1:21" ht="12.75" customHeight="1" x14ac:dyDescent="0.2">
      <c r="B19" s="203">
        <v>5</v>
      </c>
      <c r="C19" s="1759" t="s">
        <v>133</v>
      </c>
      <c r="D19" s="1759"/>
      <c r="E19" s="236" t="s">
        <v>89</v>
      </c>
      <c r="F19" s="770">
        <v>0</v>
      </c>
      <c r="G19" s="770">
        <v>0</v>
      </c>
      <c r="H19" s="687">
        <f>IF('3. T3 TASE '!H78-'3. T3 TASE '!G78&gt;0,'3. T3 TASE '!H78-'3. T3 TASE '!G78,0)+IF('3. T3 TASE '!H79-'3. T3 TASE '!G79&gt;0,'3. T3 TASE '!H79-'3. T3 TASE '!G79,0)</f>
        <v>0</v>
      </c>
      <c r="I19" s="687">
        <f>IF('3. T3 TASE '!I78-'3. T3 TASE '!H78&gt;0,'3. T3 TASE '!I78-'3. T3 TASE '!H78,0)+IF('3. T3 TASE '!I79-'3. T3 TASE '!H79&gt;0,'3. T3 TASE '!I79-'3. T3 TASE '!H79,0)</f>
        <v>0</v>
      </c>
      <c r="J19" s="687">
        <f>IF('3. T3 TASE '!J78-'3. T3 TASE '!I78&gt;0,'3. T3 TASE '!J78-'3. T3 TASE '!I78,0)+IF('3. T3 TASE '!J79-'3. T3 TASE '!I79&gt;0,'3. T3 TASE '!J79-'3. T3 TASE '!I79,0)</f>
        <v>0</v>
      </c>
      <c r="K19" s="688">
        <f>IF('3. T3 TASE '!K78-'3. T3 TASE '!J78&gt;0,'3. T3 TASE '!K78-'3. T3 TASE '!J78,0)+IF('3. T3 TASE '!K79-'3. T3 TASE '!J79&gt;0,'3. T3 TASE '!K79-'3. T3 TASE '!J79,0)</f>
        <v>0</v>
      </c>
      <c r="M19" s="1935" t="s">
        <v>296</v>
      </c>
      <c r="N19" s="1936"/>
      <c r="O19" s="1937"/>
      <c r="P19" s="690">
        <f>'2. &amp; 7. T2 TULOSSUUN. '!F20/100</f>
        <v>0</v>
      </c>
      <c r="Q19" s="690">
        <f>'2. &amp; 7. T2 TULOSSUUN. '!H20/100</f>
        <v>0</v>
      </c>
      <c r="R19" s="690">
        <f>'2. &amp; 7. T2 TULOSSUUN. '!J20/100</f>
        <v>0</v>
      </c>
      <c r="S19" s="690">
        <f>'2. &amp; 7. T2 TULOSSUUN. '!L20/100</f>
        <v>0</v>
      </c>
      <c r="T19" s="690">
        <f>'2. &amp; 7. T2 TULOSSUUN. '!N20/100</f>
        <v>0</v>
      </c>
      <c r="U19" s="691">
        <f>'2. &amp; 7. T2 TULOSSUUN. '!P20/100</f>
        <v>0</v>
      </c>
    </row>
    <row r="20" spans="1:21" ht="25.9" customHeight="1" x14ac:dyDescent="0.2">
      <c r="B20" s="203">
        <v>6</v>
      </c>
      <c r="C20" s="1896" t="s">
        <v>571</v>
      </c>
      <c r="D20" s="1896"/>
      <c r="E20" s="1896"/>
      <c r="F20" s="1896"/>
      <c r="G20" s="1897"/>
      <c r="H20" s="687">
        <f>'AT1 Avustus, alv-laskenta '!C49+'1. T1 INVESTOINTISUUN.'!D49+'3. T3 TASE '!H36+'3. T3 TASE '!H16+'3. T3 TASE '!H21+'3. T3 TASE '!H24+'3. T3 TASE '!H28+'3. T3 TASE '!H32+'3. T3 TASE '!H70</f>
        <v>0</v>
      </c>
      <c r="I20" s="687">
        <f>'AT1 Avustus, alv-laskenta '!D49+'1. T1 INVESTOINTISUUN.'!E49+'3. T3 TASE '!I36+'3. T3 TASE '!I16+'3. T3 TASE '!I21+'3. T3 TASE '!I24+'3. T3 TASE '!I28+'3. T3 TASE '!I32+'3. T3 TASE '!I70</f>
        <v>0</v>
      </c>
      <c r="J20" s="687">
        <f>'AT1 Avustus, alv-laskenta '!E49+'1. T1 INVESTOINTISUUN.'!F49+'3. T3 TASE '!J36+'3. T3 TASE '!J16+'3. T3 TASE '!J21+'3. T3 TASE '!J24+'3. T3 TASE '!J28+'3. T3 TASE '!J32+'3. T3 TASE '!J70</f>
        <v>0</v>
      </c>
      <c r="K20" s="688">
        <f>'AT1 Avustus, alv-laskenta '!F49+'1. T1 INVESTOINTISUUN.'!G49+'3. T3 TASE '!K36+'3. T3 TASE '!K16+'3. T3 TASE '!K21+'3. T3 TASE '!K24+'3. T3 TASE '!K28+'3. T3 TASE '!K32+'3. T3 TASE '!K70</f>
        <v>0</v>
      </c>
      <c r="M20" s="545" t="s">
        <v>575</v>
      </c>
      <c r="P20" s="819">
        <f>'2. &amp; 7. T2 TULOSSUUN. '!E22</f>
        <v>0</v>
      </c>
      <c r="Q20" s="819">
        <f>'2. &amp; 7. T2 TULOSSUUN. '!G22</f>
        <v>0</v>
      </c>
      <c r="R20" s="819">
        <f>'2. &amp; 7. T2 TULOSSUUN. '!I22</f>
        <v>0</v>
      </c>
      <c r="S20" s="819">
        <f>'2. &amp; 7. T2 TULOSSUUN. '!K22</f>
        <v>0</v>
      </c>
      <c r="T20" s="819">
        <f>'2. &amp; 7. T2 TULOSSUUN. '!M22</f>
        <v>0</v>
      </c>
      <c r="U20" s="820">
        <f>'2. &amp; 7. T2 TULOSSUUN. '!O22</f>
        <v>0</v>
      </c>
    </row>
    <row r="21" spans="1:21" ht="13.5" customHeight="1" thickBot="1" x14ac:dyDescent="0.25">
      <c r="B21" s="347">
        <v>7</v>
      </c>
      <c r="C21" s="523" t="s">
        <v>18</v>
      </c>
      <c r="D21" s="374"/>
      <c r="E21" s="544"/>
      <c r="F21" s="776">
        <v>0</v>
      </c>
      <c r="G21" s="776">
        <v>0</v>
      </c>
      <c r="H21" s="777">
        <f t="shared" ref="H21:K21" si="2">SUM(H15:H20)</f>
        <v>0</v>
      </c>
      <c r="I21" s="777">
        <f t="shared" si="2"/>
        <v>0</v>
      </c>
      <c r="J21" s="777">
        <f t="shared" si="2"/>
        <v>0</v>
      </c>
      <c r="K21" s="778">
        <f t="shared" si="2"/>
        <v>0</v>
      </c>
      <c r="M21" s="1935" t="s">
        <v>574</v>
      </c>
      <c r="N21" s="1936"/>
      <c r="O21" s="1937"/>
      <c r="P21" s="692">
        <f>'2. &amp; 7. T2 TULOSSUUN. '!F22/100</f>
        <v>0</v>
      </c>
      <c r="Q21" s="692">
        <f>'2. &amp; 7. T2 TULOSSUUN. '!H22/100</f>
        <v>0</v>
      </c>
      <c r="R21" s="692">
        <f>'2. &amp; 7. T2 TULOSSUUN. '!J22/100</f>
        <v>0</v>
      </c>
      <c r="S21" s="692">
        <f>'2. &amp; 7. T2 TULOSSUUN. '!L22/100</f>
        <v>0</v>
      </c>
      <c r="T21" s="692">
        <f>'2. &amp; 7. T2 TULOSSUUN. '!N22/100</f>
        <v>0</v>
      </c>
      <c r="U21" s="693">
        <f>'2. &amp; 7. T2 TULOSSUUN. '!P22/100</f>
        <v>0</v>
      </c>
    </row>
    <row r="22" spans="1:21" ht="13.5" customHeight="1" thickBot="1" x14ac:dyDescent="0.25">
      <c r="B22" s="290"/>
      <c r="C22" s="291"/>
      <c r="D22" s="292"/>
      <c r="E22" s="292"/>
      <c r="F22" s="290"/>
      <c r="G22" s="779"/>
      <c r="H22" s="780"/>
      <c r="I22" s="780"/>
      <c r="J22" s="780"/>
      <c r="K22" s="781"/>
      <c r="M22" s="1938" t="s">
        <v>684</v>
      </c>
      <c r="N22" s="1939"/>
      <c r="O22" s="1940"/>
      <c r="P22" s="696">
        <f>IF('2. &amp; 7. T2 TULOSSUUN. '!E14=0,0,IF(P21&gt;10%,"Hyvä",IF(P21&lt;5%,"Heikko","Tyydyttävä")))</f>
        <v>0</v>
      </c>
      <c r="Q22" s="696">
        <f>IF(Q21=0,0,IF(Q21&gt;10%,"Hyvä",IF(Q21&lt;5%,"Heikko","Tyydyttävä")))</f>
        <v>0</v>
      </c>
      <c r="R22" s="696">
        <f t="shared" ref="R22:U22" si="3">IF(R21=0,0,IF(R21&gt;10%,"Hyvä",IF(R21&lt;5%,"Heikko","Tyydyttävä")))</f>
        <v>0</v>
      </c>
      <c r="S22" s="696">
        <f t="shared" si="3"/>
        <v>0</v>
      </c>
      <c r="T22" s="696">
        <f t="shared" si="3"/>
        <v>0</v>
      </c>
      <c r="U22" s="1091">
        <f t="shared" si="3"/>
        <v>0</v>
      </c>
    </row>
    <row r="23" spans="1:21" ht="12.75" customHeight="1" x14ac:dyDescent="0.2">
      <c r="B23" s="730" t="s">
        <v>351</v>
      </c>
      <c r="C23" s="483"/>
      <c r="D23" s="482"/>
      <c r="E23" s="165"/>
      <c r="F23" s="782"/>
      <c r="G23" s="782"/>
      <c r="H23" s="783"/>
      <c r="I23" s="783"/>
      <c r="J23" s="783"/>
      <c r="K23" s="784"/>
      <c r="M23" s="536" t="s">
        <v>297</v>
      </c>
      <c r="N23" s="537"/>
      <c r="O23" s="537"/>
      <c r="P23" s="687">
        <f>'2. &amp; 7. T2 TULOSSUUN. '!E31</f>
        <v>0</v>
      </c>
      <c r="Q23" s="687">
        <f>'2. &amp; 7. T2 TULOSSUUN. '!G31</f>
        <v>0</v>
      </c>
      <c r="R23" s="687">
        <f>'2. &amp; 7. T2 TULOSSUUN. '!I31</f>
        <v>0</v>
      </c>
      <c r="S23" s="687">
        <f>'2. &amp; 7. T2 TULOSSUUN. '!K31</f>
        <v>0</v>
      </c>
      <c r="T23" s="687">
        <f>'2. &amp; 7. T2 TULOSSUUN. '!M31</f>
        <v>0</v>
      </c>
      <c r="U23" s="688">
        <f>'2. &amp; 7. T2 TULOSSUUN. '!O31</f>
        <v>0</v>
      </c>
    </row>
    <row r="24" spans="1:21" ht="12.75" customHeight="1" x14ac:dyDescent="0.2">
      <c r="B24" s="203">
        <v>8</v>
      </c>
      <c r="C24" s="1785" t="s">
        <v>138</v>
      </c>
      <c r="D24" s="1785"/>
      <c r="E24" s="378" t="s">
        <v>89</v>
      </c>
      <c r="F24" s="445"/>
      <c r="G24" s="445"/>
      <c r="H24" s="775">
        <f>'AT1 Avustus, alv-laskenta '!C4</f>
        <v>0</v>
      </c>
      <c r="I24" s="775">
        <f>'AT1 Avustus, alv-laskenta '!D4</f>
        <v>0</v>
      </c>
      <c r="J24" s="775">
        <f>'AT1 Avustus, alv-laskenta '!E4</f>
        <v>0</v>
      </c>
      <c r="K24" s="775">
        <f>'AT1 Avustus, alv-laskenta '!F4</f>
        <v>0</v>
      </c>
      <c r="M24" s="536" t="s">
        <v>298</v>
      </c>
      <c r="N24" s="537"/>
      <c r="O24" s="537"/>
      <c r="P24" s="692">
        <f>'2. &amp; 7. T2 TULOSSUUN. '!F31/100</f>
        <v>0</v>
      </c>
      <c r="Q24" s="692">
        <f>'2. &amp; 7. T2 TULOSSUUN. '!H31/100</f>
        <v>0</v>
      </c>
      <c r="R24" s="692">
        <f>'2. &amp; 7. T2 TULOSSUUN. '!J31/100</f>
        <v>0</v>
      </c>
      <c r="S24" s="692">
        <f>'2. &amp; 7. T2 TULOSSUUN. '!L31/100</f>
        <v>0</v>
      </c>
      <c r="T24" s="692">
        <f>'2. &amp; 7. T2 TULOSSUUN. '!N31/100</f>
        <v>0</v>
      </c>
      <c r="U24" s="693">
        <f>'2. &amp; 7. T2 TULOSSUUN. '!P31/100</f>
        <v>0</v>
      </c>
    </row>
    <row r="25" spans="1:21" ht="12.75" customHeight="1" x14ac:dyDescent="0.2">
      <c r="B25" s="203">
        <f>B24+1</f>
        <v>9</v>
      </c>
      <c r="C25" s="1759" t="s">
        <v>139</v>
      </c>
      <c r="D25" s="1759"/>
      <c r="E25" s="236" t="s">
        <v>89</v>
      </c>
      <c r="F25" s="1043"/>
      <c r="G25" s="1043"/>
      <c r="H25" s="687">
        <f>'AT1 Avustus, alv-laskenta '!C10+'AT1 Avustus, alv-laskenta '!C15</f>
        <v>0</v>
      </c>
      <c r="I25" s="687">
        <f>'AT1 Avustus, alv-laskenta '!D10+'AT1 Avustus, alv-laskenta '!D15</f>
        <v>0</v>
      </c>
      <c r="J25" s="687">
        <f>'AT1 Avustus, alv-laskenta '!E10+'AT1 Avustus, alv-laskenta '!E15</f>
        <v>0</v>
      </c>
      <c r="K25" s="688">
        <f>'AT1 Avustus, alv-laskenta '!F10+'AT1 Avustus, alv-laskenta '!F15</f>
        <v>0</v>
      </c>
      <c r="M25" s="1935" t="s">
        <v>576</v>
      </c>
      <c r="N25" s="1936"/>
      <c r="O25" s="1937"/>
      <c r="P25" s="692">
        <f>IF(P16=0,0,(P23-'2. &amp; 7. T2 TULOSSUUN. '!E27-'2. &amp; 7. T2 TULOSSUUN. '!E25)/'8. T4 RAHOITUSSUUN. '!P16)</f>
        <v>0</v>
      </c>
      <c r="Q25" s="692">
        <f>IF(Q16=0,0,(Q23-'2. &amp; 7. T2 TULOSSUUN. '!G27-'2. &amp; 7. T2 TULOSSUUN. '!G25)/'8. T4 RAHOITUSSUUN. '!Q16)</f>
        <v>0</v>
      </c>
      <c r="R25" s="692">
        <f>IF(R16=0,0,(R23-'2. &amp; 7. T2 TULOSSUUN. '!I27-'2. &amp; 7. T2 TULOSSUUN. '!I25)/'8. T4 RAHOITUSSUUN. '!R16)</f>
        <v>0</v>
      </c>
      <c r="S25" s="692">
        <f>IF(S16=0,0,(S23-'2. &amp; 7. T2 TULOSSUUN. '!K27-'2. &amp; 7. T2 TULOSSUUN. '!K25)/'8. T4 RAHOITUSSUUN. '!S16)</f>
        <v>0</v>
      </c>
      <c r="T25" s="692">
        <f>IF(T16=0,0,(T23-'2. &amp; 7. T2 TULOSSUUN. '!M27-'2. &amp; 7. T2 TULOSSUUN. '!M25)/'8. T4 RAHOITUSSUUN. '!T16)</f>
        <v>0</v>
      </c>
      <c r="U25" s="693">
        <f>IF(U16=0,0,(U23-'2. &amp; 7. T2 TULOSSUUN. '!O27-'2. &amp; 7. T2 TULOSSUUN. '!O25)/'8. T4 RAHOITUSSUUN. '!U16)</f>
        <v>0</v>
      </c>
    </row>
    <row r="26" spans="1:21" ht="12.75" customHeight="1" x14ac:dyDescent="0.2">
      <c r="B26" s="203">
        <f t="shared" ref="B26:B43" si="4">B25+1</f>
        <v>10</v>
      </c>
      <c r="C26" s="1759" t="s">
        <v>115</v>
      </c>
      <c r="D26" s="1759"/>
      <c r="E26" s="236" t="s">
        <v>89</v>
      </c>
      <c r="F26" s="1043"/>
      <c r="G26" s="1043"/>
      <c r="H26" s="687">
        <f>'AT1 Avustus, alv-laskenta '!C23+'AT1 Avustus, alv-laskenta '!C30</f>
        <v>0</v>
      </c>
      <c r="I26" s="687">
        <f>'AT1 Avustus, alv-laskenta '!D23+'AT1 Avustus, alv-laskenta '!D30</f>
        <v>0</v>
      </c>
      <c r="J26" s="687">
        <f>'AT1 Avustus, alv-laskenta '!E23+'AT1 Avustus, alv-laskenta '!E30</f>
        <v>0</v>
      </c>
      <c r="K26" s="688">
        <f>'AT1 Avustus, alv-laskenta '!F23+'AT1 Avustus, alv-laskenta '!F30</f>
        <v>0</v>
      </c>
      <c r="M26" s="173" t="s">
        <v>555</v>
      </c>
      <c r="N26" s="146"/>
      <c r="O26" s="141"/>
      <c r="P26" s="144"/>
      <c r="Q26" s="144"/>
      <c r="R26" s="144"/>
      <c r="S26" s="148"/>
      <c r="T26" s="148"/>
      <c r="U26" s="689"/>
    </row>
    <row r="27" spans="1:21" ht="12.75" customHeight="1" x14ac:dyDescent="0.2">
      <c r="B27" s="203">
        <f t="shared" si="4"/>
        <v>11</v>
      </c>
      <c r="C27" s="1759" t="s">
        <v>118</v>
      </c>
      <c r="D27" s="1759"/>
      <c r="E27" s="236" t="s">
        <v>89</v>
      </c>
      <c r="F27" s="1043"/>
      <c r="G27" s="1043"/>
      <c r="H27" s="687">
        <f>'AT1 Avustus, alv-laskenta '!C36+'AT1 Avustus, alv-laskenta '!C43</f>
        <v>0</v>
      </c>
      <c r="I27" s="687">
        <f>'AT1 Avustus, alv-laskenta '!D36+'AT1 Avustus, alv-laskenta '!D43</f>
        <v>0</v>
      </c>
      <c r="J27" s="687">
        <f>'AT1 Avustus, alv-laskenta '!E36+'AT1 Avustus, alv-laskenta '!E43</f>
        <v>0</v>
      </c>
      <c r="K27" s="688">
        <f>'AT1 Avustus, alv-laskenta '!F36+'AT1 Avustus, alv-laskenta '!F43</f>
        <v>0</v>
      </c>
      <c r="M27" s="1932" t="s">
        <v>299</v>
      </c>
      <c r="N27" s="1933"/>
      <c r="O27" s="1934"/>
      <c r="P27" s="694">
        <f>IF('3. T3 TASE '!F75=0,0,('3. T3 TASE '!F38-'3. T3 TASE '!F39)/'3. T3 TASE '!F75)</f>
        <v>0</v>
      </c>
      <c r="Q27" s="694">
        <f>IF('3. T3 TASE '!G75=0,0,('3. T3 TASE '!G38-'3. T3 TASE '!G39)/'3. T3 TASE '!G75)</f>
        <v>0</v>
      </c>
      <c r="R27" s="694">
        <f>IF('3. T3 TASE '!H75=0,0,('3. T3 TASE '!H38-'3. T3 TASE '!H39)/'3. T3 TASE '!H75)</f>
        <v>0</v>
      </c>
      <c r="S27" s="694">
        <f>IF('3. T3 TASE '!I75=0,0,('3. T3 TASE '!I38-'3. T3 TASE '!I39)/'3. T3 TASE '!I75)</f>
        <v>0</v>
      </c>
      <c r="T27" s="694">
        <f>IF('3. T3 TASE '!J75=0,0,('3. T3 TASE '!J38-'3. T3 TASE '!J39)/'3. T3 TASE '!J75)</f>
        <v>0</v>
      </c>
      <c r="U27" s="695">
        <f>IF('3. T3 TASE '!K75=0,0,('3. T3 TASE '!K38-'3. T3 TASE '!K39)/'3. T3 TASE '!K75)</f>
        <v>0</v>
      </c>
    </row>
    <row r="28" spans="1:21" ht="12.75" customHeight="1" x14ac:dyDescent="0.2">
      <c r="B28" s="203">
        <f t="shared" si="4"/>
        <v>12</v>
      </c>
      <c r="C28" s="1759" t="s">
        <v>482</v>
      </c>
      <c r="D28" s="1759"/>
      <c r="E28" s="354" t="s">
        <v>96</v>
      </c>
      <c r="F28" s="1043"/>
      <c r="G28" s="1043"/>
      <c r="H28" s="687">
        <f>H61</f>
        <v>0</v>
      </c>
      <c r="I28" s="687">
        <f>I61</f>
        <v>0</v>
      </c>
      <c r="J28" s="687">
        <f>J61</f>
        <v>0</v>
      </c>
      <c r="K28" s="688">
        <f>K61</f>
        <v>0</v>
      </c>
      <c r="M28" s="1938" t="s">
        <v>684</v>
      </c>
      <c r="N28" s="1939"/>
      <c r="O28" s="1940"/>
      <c r="P28" s="696">
        <f>IF('3. T3 TASE '!F75=0,0,IF(P27&gt;1,"Hyvä",IF(P27&lt;0.5,"Heikko","Tyydyttävä")))</f>
        <v>0</v>
      </c>
      <c r="Q28" s="696">
        <f>IF('3. T3 TASE '!G75=0,0,IF(Q27&gt;1,"Hyvä",IF(Q27&lt;0.5,"Heikko","Tyydyttävä")))</f>
        <v>0</v>
      </c>
      <c r="R28" s="696">
        <f>IF('3. T3 TASE '!H75=0,0,IF(R27&gt;1,"Hyvä",IF(R27&lt;0.5,"Heikko","Tyydyttävä")))</f>
        <v>0</v>
      </c>
      <c r="S28" s="696">
        <f>IF('3. T3 TASE '!I75=0,0,IF(S27&gt;1,"Hyvä",IF(S27&lt;0.5,"Heikko","Tyydyttävä")))</f>
        <v>0</v>
      </c>
      <c r="T28" s="696">
        <f>IF('3. T3 TASE '!J75=0,0,IF(T27&gt;1,"Hyvä",IF(T27&lt;0.5,"Heikko","Tyydyttävä")))</f>
        <v>0</v>
      </c>
      <c r="U28" s="1091">
        <f>IF('3. T3 TASE '!K75=0,0,IF(U27&gt;1,"Hyvä",IF(U27&lt;0.5,"Heikko","Tyydyttävä")))</f>
        <v>0</v>
      </c>
    </row>
    <row r="29" spans="1:21" ht="12.75" customHeight="1" x14ac:dyDescent="0.2">
      <c r="B29" s="203">
        <f t="shared" si="4"/>
        <v>13</v>
      </c>
      <c r="C29" s="1759" t="s">
        <v>120</v>
      </c>
      <c r="D29" s="1759"/>
      <c r="E29" s="236" t="s">
        <v>89</v>
      </c>
      <c r="F29" s="770"/>
      <c r="G29" s="770"/>
      <c r="H29" s="687">
        <f>'3. T3 TASE '!H48-'3. T3 TASE '!G48</f>
        <v>0</v>
      </c>
      <c r="I29" s="687">
        <f>'3. T3 TASE '!I48-'3. T3 TASE '!H48</f>
        <v>0</v>
      </c>
      <c r="J29" s="687">
        <f>'3. T3 TASE '!J48-'3. T3 TASE '!I48</f>
        <v>0</v>
      </c>
      <c r="K29" s="688">
        <f>'3. T3 TASE '!K48-'3. T3 TASE '!J48</f>
        <v>0</v>
      </c>
      <c r="M29" s="1935" t="s">
        <v>300</v>
      </c>
      <c r="N29" s="1936"/>
      <c r="O29" s="1937"/>
      <c r="P29" s="697">
        <f>IF('3. T3 TASE '!F75=0,0,'3. T3 TASE '!F38/'3. T3 TASE '!F75)</f>
        <v>0</v>
      </c>
      <c r="Q29" s="697">
        <f>IF('3. T3 TASE '!G75=0,0,'3. T3 TASE '!G38/'3. T3 TASE '!G75)</f>
        <v>0</v>
      </c>
      <c r="R29" s="697">
        <f>IF('3. T3 TASE '!H75=0,0,'3. T3 TASE '!H38/'3. T3 TASE '!H75)</f>
        <v>0</v>
      </c>
      <c r="S29" s="697">
        <f>IF('3. T3 TASE '!I75=0,0,'3. T3 TASE '!I38/'3. T3 TASE '!I75)</f>
        <v>0</v>
      </c>
      <c r="T29" s="697">
        <f>IF('3. T3 TASE '!J75=0,0,'3. T3 TASE '!J38/'3. T3 TASE '!J75)</f>
        <v>0</v>
      </c>
      <c r="U29" s="698">
        <f>IF('3. T3 TASE '!K75=0,0,'3. T3 TASE '!K38/'3. T3 TASE '!K75)</f>
        <v>0</v>
      </c>
    </row>
    <row r="30" spans="1:21" ht="12.75" customHeight="1" x14ac:dyDescent="0.2">
      <c r="B30" s="203">
        <f t="shared" si="4"/>
        <v>14</v>
      </c>
      <c r="C30" s="1898" t="s">
        <v>470</v>
      </c>
      <c r="D30" s="1898"/>
      <c r="E30" s="236" t="s">
        <v>89</v>
      </c>
      <c r="F30" s="1043"/>
      <c r="G30" s="1043"/>
      <c r="H30" s="687">
        <f>'4. T7 LAINAT '!F18+'4. T7 LAINAT '!G39</f>
        <v>0</v>
      </c>
      <c r="I30" s="687">
        <f>'4. T7 LAINAT '!I18+'4. T7 LAINAT '!J39</f>
        <v>0</v>
      </c>
      <c r="J30" s="687">
        <f>'4. T7 LAINAT '!L18+'4. T7 LAINAT '!M39</f>
        <v>0</v>
      </c>
      <c r="K30" s="688">
        <f>'4. T7 LAINAT '!O18+'4. T7 LAINAT '!P39</f>
        <v>0</v>
      </c>
      <c r="M30" s="1938" t="s">
        <v>327</v>
      </c>
      <c r="N30" s="1939"/>
      <c r="O30" s="1940"/>
      <c r="P30" s="696">
        <f>IF('3. T3 TASE '!F75=0,0,IF(P29&gt;2,"Hyvä",IF(P29&lt;1,"Heikko","Tyydyttävä")))</f>
        <v>0</v>
      </c>
      <c r="Q30" s="696">
        <f>IF('3. T3 TASE '!G75=0,0,IF(Q29&gt;2,"Hyvä",IF(Q29&lt;1,"Heikko","Tyydyttävä")))</f>
        <v>0</v>
      </c>
      <c r="R30" s="696">
        <f>IF('3. T3 TASE '!H75=0,0,IF(R29&gt;2,"Hyvä",IF(R29&lt;1,"Heikko","Tyydyttävä")))</f>
        <v>0</v>
      </c>
      <c r="S30" s="696">
        <f>IF('3. T3 TASE '!I75=0,0,IF(S29&gt;2,"Hyvä",IF(S29&lt;1,"Heikko","Tyydyttävä")))</f>
        <v>0</v>
      </c>
      <c r="T30" s="696">
        <f>IF('3. T3 TASE '!J75=0,0,IF(T29&gt;2,"Hyvä",IF(T29&lt;1,"Heikko","Tyydyttävä")))</f>
        <v>0</v>
      </c>
      <c r="U30" s="1091">
        <f>IF('3. T3 TASE '!K75=0,0,IF(U29&gt;2,"Hyvä",IF(U29&lt;1,"Heikko","Tyydyttävä")))</f>
        <v>0</v>
      </c>
    </row>
    <row r="31" spans="1:21" ht="12.75" customHeight="1" x14ac:dyDescent="0.2">
      <c r="B31" s="203">
        <f t="shared" si="4"/>
        <v>15</v>
      </c>
      <c r="C31" s="570" t="s">
        <v>490</v>
      </c>
      <c r="D31" s="570"/>
      <c r="E31" s="236" t="s">
        <v>89</v>
      </c>
      <c r="F31" s="1043"/>
      <c r="G31" s="1043"/>
      <c r="H31" s="687">
        <f>-IF('3. T3 TASE '!H61-'3. T3 TASE '!G61&lt;0,'3. T3 TASE '!H61-'3. T3 TASE '!G61,0)</f>
        <v>0</v>
      </c>
      <c r="I31" s="687">
        <f>-IF('3. T3 TASE '!I61-'3. T3 TASE '!H61&lt;0,'3. T3 TASE '!I61-'3. T3 TASE '!H61,0)</f>
        <v>0</v>
      </c>
      <c r="J31" s="687">
        <f>-IF('3. T3 TASE '!J61-'3. T3 TASE '!I61&lt;0,'3. T3 TASE '!J61-'3. T3 TASE '!I61,0)</f>
        <v>0</v>
      </c>
      <c r="K31" s="688">
        <f>-IF('3. T3 TASE '!K61-'3. T3 TASE '!J61&lt;0,'3. T3 TASE '!K61-'3. T3 TASE '!J61,0)</f>
        <v>0</v>
      </c>
      <c r="M31" s="1935" t="s">
        <v>425</v>
      </c>
      <c r="N31" s="1936"/>
      <c r="O31" s="1937"/>
      <c r="P31" s="699"/>
      <c r="Q31" s="1128">
        <f>IF(G15=0,0,('3. T3 TASE '!G67/'8. T4 RAHOITUSSUUN. '!G15))</f>
        <v>0</v>
      </c>
      <c r="R31" s="694">
        <f>IF(H15=0,0,('AT2 Lainat,sotum., alv-osto'!N14+'AT2 Lainat,sotum., alv-osto'!N28)/'8. T4 RAHOITUSSUUN. '!H15)</f>
        <v>0</v>
      </c>
      <c r="S31" s="694">
        <f>IF(I15=0,0,('AT2 Lainat,sotum., alv-osto'!T14+'AT2 Lainat,sotum., alv-osto'!T28)/'8. T4 RAHOITUSSUUN. '!I15)</f>
        <v>0</v>
      </c>
      <c r="T31" s="694">
        <f>IF(J15=0,0,('AT2 Lainat,sotum., alv-osto'!Z14+'AT2 Lainat,sotum., alv-osto'!Z28)/'8. T4 RAHOITUSSUUN. '!J15)</f>
        <v>0</v>
      </c>
      <c r="U31" s="695">
        <f>IF(K15=0,0,('AT2 Lainat,sotum., alv-osto'!AF14+'AT2 Lainat,sotum., alv-osto'!AF28)/'8. T4 RAHOITUSSUUN. '!K15)</f>
        <v>0</v>
      </c>
    </row>
    <row r="32" spans="1:21" ht="12.75" customHeight="1" x14ac:dyDescent="0.2">
      <c r="B32" s="203">
        <f t="shared" si="4"/>
        <v>16</v>
      </c>
      <c r="C32" s="570" t="s">
        <v>469</v>
      </c>
      <c r="D32" s="570"/>
      <c r="E32" s="236" t="s">
        <v>89</v>
      </c>
      <c r="F32" s="1043"/>
      <c r="G32" s="1043"/>
      <c r="H32" s="687">
        <f>-IF('3. T3 TASE '!H69-'3. T3 TASE '!G69&lt;0,'3. T3 TASE '!H69-'3. T3 TASE '!G69+'3. T3 TASE '!H70,0)</f>
        <v>0</v>
      </c>
      <c r="I32" s="687">
        <f>-IF('3. T3 TASE '!I69-'3. T3 TASE '!H69&lt;0,'3. T3 TASE '!I69-'3. T3 TASE '!H69+'3. T3 TASE '!I70,0)</f>
        <v>0</v>
      </c>
      <c r="J32" s="687">
        <f>-IF('3. T3 TASE '!J69-'3. T3 TASE '!I69&lt;0,'3. T3 TASE '!J69-'3. T3 TASE '!I69+'3. T3 TASE '!J70,0)</f>
        <v>0</v>
      </c>
      <c r="K32" s="688">
        <f>-IF('3. T3 TASE '!K69-'3. T3 TASE '!J69&lt;0,'3. T3 TASE '!K69-'3. T3 TASE '!J69+'3. T3 TASE '!K70,0)</f>
        <v>0</v>
      </c>
      <c r="M32" s="1935" t="s">
        <v>317</v>
      </c>
      <c r="N32" s="1936"/>
      <c r="O32" s="1937"/>
      <c r="P32" s="700"/>
      <c r="Q32" s="697">
        <f>IF('2. &amp; 7. T2 TULOSSUUN. '!G25+'3. T3 TASE '!G77=0,0,(G15-'2. &amp; 7. T2 TULOSSUUN. '!G25)/(-'2. &amp; 7. T2 TULOSSUUN. '!G25+'3. T3 TASE '!G77))</f>
        <v>0</v>
      </c>
      <c r="R32" s="697">
        <f>IF(-'2. &amp; 7. T2 TULOSSUUN. '!I25+'4. T7 LAINAT '!F18+'4. T7 LAINAT '!G39=0,0,(H15-'2. &amp; 7. T2 TULOSSUUN. '!I25)/(-'2. &amp; 7. T2 TULOSSUUN. '!I25+'4. T7 LAINAT '!F18+'4. T7 LAINAT '!G39))</f>
        <v>0</v>
      </c>
      <c r="S32" s="697">
        <f>IF(-'2. &amp; 7. T2 TULOSSUUN. '!K25+'4. T7 LAINAT '!I18+'4. T7 LAINAT '!J39=0,0,(I15-'2. &amp; 7. T2 TULOSSUUN. '!K25)/(-'2. &amp; 7. T2 TULOSSUUN. '!K25+'4. T7 LAINAT '!I18+'4. T7 LAINAT '!J39))</f>
        <v>0</v>
      </c>
      <c r="T32" s="697">
        <f>IF(-'2. &amp; 7. T2 TULOSSUUN. '!M25+'4. T7 LAINAT '!L18+'4. T7 LAINAT '!M39=0,0,(J15-'2. &amp; 7. T2 TULOSSUUN. '!M25)/(-'2. &amp; 7. T2 TULOSSUUN. '!M25+'4. T7 LAINAT '!L18+'4. T7 LAINAT '!M39))</f>
        <v>0</v>
      </c>
      <c r="U32" s="698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 x14ac:dyDescent="0.2">
      <c r="B33" s="203">
        <f t="shared" si="4"/>
        <v>17</v>
      </c>
      <c r="C33" s="1898" t="s">
        <v>497</v>
      </c>
      <c r="D33" s="1898"/>
      <c r="E33" s="236" t="s">
        <v>89</v>
      </c>
      <c r="F33" s="1043"/>
      <c r="G33" s="1043"/>
      <c r="H33" s="687">
        <f>-IF('3. T3 TASE '!H72-'3. T3 TASE '!G72&lt;0,'3. T3 TASE '!H72-'3. T3 TASE '!G72,0)</f>
        <v>0</v>
      </c>
      <c r="I33" s="687">
        <f>-IF('3. T3 TASE '!I72-'3. T3 TASE '!H72&lt;0,'3. T3 TASE '!I72-'3. T3 TASE '!H72,0)</f>
        <v>0</v>
      </c>
      <c r="J33" s="687">
        <f>-IF('3. T3 TASE '!J72-'3. T3 TASE '!I72&lt;0,'3. T3 TASE '!J72-'3. T3 TASE '!I72,0)</f>
        <v>0</v>
      </c>
      <c r="K33" s="688">
        <f>-IF('3. T3 TASE '!K72-'3. T3 TASE '!J72&lt;0,'3. T3 TASE '!K72-'3. T3 TASE '!J72,0)</f>
        <v>0</v>
      </c>
      <c r="M33" s="1938" t="s">
        <v>684</v>
      </c>
      <c r="N33" s="1939"/>
      <c r="O33" s="1940"/>
      <c r="P33" s="701"/>
      <c r="Q33" s="696">
        <f>IF('2. &amp; 7. T2 TULOSSUUN. '!G25+'3. T3 TASE '!G77=0,0,IF(Q32&gt;2,"Hyvä",IF(Q32&lt;1,"Heikko","Tyydyttävä")))</f>
        <v>0</v>
      </c>
      <c r="R33" s="696">
        <f>IF('2. &amp; 7. T2 TULOSSUUN. '!I25+'4. T7 LAINAT '!F18+'4. T7 LAINAT '!G39=0,0,IF(R32&gt;2,"Hyvä",IF(R32&lt;1,"Heikko","Tyydyttävä")))</f>
        <v>0</v>
      </c>
      <c r="S33" s="696">
        <f>IF('2. &amp; 7. T2 TULOSSUUN. '!K25+'4. T7 LAINAT '!I18+'4. T7 LAINAT '!J39=0,0,IF(S32&gt;2,"Hyvä",IF(S32&lt;1,"Heikko","Tyydyttävä")))</f>
        <v>0</v>
      </c>
      <c r="T33" s="696">
        <f>IF('2. &amp; 7. T2 TULOSSUUN. '!M25+'4. T7 LAINAT '!L18+'4. T7 LAINAT '!M39=0,0,IF(T32&gt;2,"Hyvä",IF(T32&lt;1,"Heikko","Tyydyttävä")))</f>
        <v>0</v>
      </c>
      <c r="U33" s="1091">
        <f>IF('2. &amp; 7. T2 TULOSSUUN. '!O25+'4. T7 LAINAT '!O18+'4. T7 LAINAT '!P39=0,0,IF(U32&gt;2,"Hyvä",IF(U32&lt;1,"Heikko","Tyydyttävä")))</f>
        <v>0</v>
      </c>
    </row>
    <row r="34" spans="2:23" ht="12.75" customHeight="1" x14ac:dyDescent="0.2">
      <c r="B34" s="203">
        <f t="shared" si="4"/>
        <v>18</v>
      </c>
      <c r="C34" s="1898" t="s">
        <v>472</v>
      </c>
      <c r="D34" s="1898"/>
      <c r="E34" s="236" t="s">
        <v>89</v>
      </c>
      <c r="F34" s="1043"/>
      <c r="G34" s="1043"/>
      <c r="H34" s="687">
        <f>-IF('3. T3 TASE '!H74-'3. T3 TASE '!G74&lt;0,'3. T3 TASE '!H74-'3. T3 TASE '!G74,0)</f>
        <v>0</v>
      </c>
      <c r="I34" s="687">
        <f>-IF('3. T3 TASE '!I74-'3. T3 TASE '!H74&lt;0,'3. T3 TASE '!I74-'3. T3 TASE '!H74,0)</f>
        <v>0</v>
      </c>
      <c r="J34" s="687">
        <f>-IF('3. T3 TASE '!J74-'3. T3 TASE '!I74&lt;0,'3. T3 TASE '!J74-'3. T3 TASE '!I74,0)</f>
        <v>0</v>
      </c>
      <c r="K34" s="688">
        <f>-IF('3. T3 TASE '!K74-'3. T3 TASE '!J74&lt;0,'3. T3 TASE '!K74-'3. T3 TASE '!J74,0)</f>
        <v>0</v>
      </c>
      <c r="M34" s="173" t="s">
        <v>556</v>
      </c>
      <c r="N34" s="146"/>
      <c r="O34" s="146"/>
      <c r="P34" s="148"/>
      <c r="Q34" s="148"/>
      <c r="R34" s="148"/>
      <c r="S34" s="148"/>
      <c r="T34" s="148"/>
      <c r="U34" s="689"/>
    </row>
    <row r="35" spans="2:23" ht="12.75" customHeight="1" x14ac:dyDescent="0.2">
      <c r="B35" s="203">
        <f t="shared" si="4"/>
        <v>19</v>
      </c>
      <c r="C35" s="1759" t="s">
        <v>350</v>
      </c>
      <c r="D35" s="1759"/>
      <c r="E35" s="354" t="s">
        <v>96</v>
      </c>
      <c r="F35" s="1043"/>
      <c r="G35" s="1043"/>
      <c r="H35" s="707">
        <v>0</v>
      </c>
      <c r="I35" s="707">
        <v>0</v>
      </c>
      <c r="J35" s="707">
        <v>0</v>
      </c>
      <c r="K35" s="708">
        <v>0</v>
      </c>
      <c r="M35" s="1932" t="s">
        <v>302</v>
      </c>
      <c r="N35" s="1933"/>
      <c r="O35" s="1934"/>
      <c r="P35" s="692">
        <f>IF('3. T3 TASE '!F98=0,0,IF('3. T3 TASE '!F98&lt;0,0,'3. T3 TASE '!F56/('3. T3 TASE '!F98-'3. T3 TASE '!F96)))</f>
        <v>0</v>
      </c>
      <c r="Q35" s="692">
        <f>IF('3. T3 TASE '!G98=0,0,IF('3. T3 TASE '!G98&lt;0,0,'3. T3 TASE '!G56/('3. T3 TASE '!G98-'3. T3 TASE '!G96)))</f>
        <v>0</v>
      </c>
      <c r="R35" s="692">
        <f>IF('3. T3 TASE '!H98=0,0,IF('3. T3 TASE '!H98&lt;0,0,'3. T3 TASE '!H56/('3. T3 TASE '!H98-'3. T3 TASE '!H96)))</f>
        <v>0</v>
      </c>
      <c r="S35" s="692">
        <f>IF('3. T3 TASE '!I98=0,0,IF('3. T3 TASE '!I98&lt;0,0,'3. T3 TASE '!I56/('3. T3 TASE '!I98-'3. T3 TASE '!I96)))</f>
        <v>0</v>
      </c>
      <c r="T35" s="692">
        <f>IF('3. T3 TASE '!J98=0,0,IF('3. T3 TASE '!J98&lt;0,0,'3. T3 TASE '!J56/('3. T3 TASE '!J98-'3. T3 TASE '!J96)))</f>
        <v>0</v>
      </c>
      <c r="U35" s="693">
        <f>IF('3. T3 TASE '!K98=0,0,IF('3. T3 TASE '!K98&lt;0,0,'3. T3 TASE '!K56/('3. T3 TASE '!K98-'3. T3 TASE '!K96)))</f>
        <v>0</v>
      </c>
    </row>
    <row r="36" spans="2:23" ht="12.75" customHeight="1" x14ac:dyDescent="0.2">
      <c r="B36" s="203">
        <f t="shared" si="4"/>
        <v>20</v>
      </c>
      <c r="C36" s="1759" t="s">
        <v>236</v>
      </c>
      <c r="D36" s="1759"/>
      <c r="E36" s="236" t="s">
        <v>89</v>
      </c>
      <c r="F36" s="1043"/>
      <c r="G36" s="1043"/>
      <c r="H36" s="687">
        <f>'4. T7 LAINAT '!$F$19+'4. T7 LAINAT '!G45</f>
        <v>0</v>
      </c>
      <c r="I36" s="687">
        <f>'4. T7 LAINAT '!I19+'4. T7 LAINAT '!J45</f>
        <v>0</v>
      </c>
      <c r="J36" s="687">
        <f>'4. T7 LAINAT '!L19+'4. T7 LAINAT '!M45</f>
        <v>0</v>
      </c>
      <c r="K36" s="688">
        <f>'4. T7 LAINAT '!O19+'4. T7 LAINAT '!P45</f>
        <v>0</v>
      </c>
      <c r="M36" s="1938" t="s">
        <v>684</v>
      </c>
      <c r="N36" s="1939"/>
      <c r="O36" s="1940"/>
      <c r="P36" s="696">
        <f>IF('3. T3 TASE '!F98=0,0,IF(P35&gt;40%,"Hyvä",IF(P35&lt;20%,"Heikko","Tyydyttävä")))</f>
        <v>0</v>
      </c>
      <c r="Q36" s="696">
        <f>IF('3. T3 TASE '!G98=0,0,IF(Q35&gt;40%,"Hyvä",IF(Q35&lt;20%,"Heikko","Tyydyttävä")))</f>
        <v>0</v>
      </c>
      <c r="R36" s="696">
        <f>IF('3. T3 TASE '!H98=0,0,IF(R35&gt;40%,"Hyvä",IF(R35&lt;20%,"Heikko","Tyydyttävä")))</f>
        <v>0</v>
      </c>
      <c r="S36" s="696">
        <f>IF('3. T3 TASE '!I98=0,0,IF(S35&gt;40%,"Hyvä",IF(S35&lt;20%,"Heikko","Tyydyttävä")))</f>
        <v>0</v>
      </c>
      <c r="T36" s="696">
        <f>IF('3. T3 TASE '!J98=0,0,IF(T35&gt;40%,"Hyvä",IF(T35&lt;20%,"Heikko","Tyydyttävä")))</f>
        <v>0</v>
      </c>
      <c r="U36" s="1091">
        <f>IF('3. T3 TASE '!K98=0,0,IF(U35&gt;40%,"Hyvä",IF(U35&lt;20%,"Heikko","Tyydyttävä")))</f>
        <v>0</v>
      </c>
    </row>
    <row r="37" spans="2:23" ht="12.75" customHeight="1" x14ac:dyDescent="0.2">
      <c r="B37" s="203">
        <f t="shared" si="4"/>
        <v>21</v>
      </c>
      <c r="C37" s="1759" t="s">
        <v>346</v>
      </c>
      <c r="D37" s="1759"/>
      <c r="E37" s="354" t="s">
        <v>96</v>
      </c>
      <c r="F37" s="1043"/>
      <c r="G37" s="1043"/>
      <c r="H37" s="687">
        <f>'3. T3 TASE '!H84+'3. T3 TASE '!H91-'3. T3 TASE '!G84-'3. T3 TASE '!G91</f>
        <v>0</v>
      </c>
      <c r="I37" s="687">
        <f>'3. T3 TASE '!I84+'3. T3 TASE '!I91-'3. T3 TASE '!H84-'3. T3 TASE '!H91</f>
        <v>0</v>
      </c>
      <c r="J37" s="687">
        <f>'3. T3 TASE '!J84+'3. T3 TASE '!J91-'3. T3 TASE '!I84-'3. T3 TASE '!I91</f>
        <v>0</v>
      </c>
      <c r="K37" s="688">
        <f>'3. T3 TASE '!K84+'3. T3 TASE '!K91-'3. T3 TASE '!J84-'3. T3 TASE '!J91</f>
        <v>0</v>
      </c>
      <c r="M37" s="1935" t="s">
        <v>491</v>
      </c>
      <c r="N37" s="1936"/>
      <c r="O37" s="1937"/>
      <c r="P37" s="702">
        <f>IF(P80=0,0,(P86-P87)/P76)</f>
        <v>0</v>
      </c>
      <c r="Q37" s="702">
        <f t="shared" ref="Q37:U37" si="5">IF(Q80=0,0,(Q86-Q87)/Q76)</f>
        <v>0</v>
      </c>
      <c r="R37" s="1170">
        <f t="shared" si="5"/>
        <v>0</v>
      </c>
      <c r="S37" s="1170">
        <f t="shared" si="5"/>
        <v>0</v>
      </c>
      <c r="T37" s="1170">
        <f t="shared" si="5"/>
        <v>0</v>
      </c>
      <c r="U37" s="1178">
        <f t="shared" si="5"/>
        <v>0</v>
      </c>
    </row>
    <row r="38" spans="2:23" ht="12.75" customHeight="1" x14ac:dyDescent="0.2">
      <c r="B38" s="203">
        <f t="shared" si="4"/>
        <v>22</v>
      </c>
      <c r="C38" s="1759" t="s">
        <v>121</v>
      </c>
      <c r="D38" s="1759"/>
      <c r="E38" s="236" t="s">
        <v>89</v>
      </c>
      <c r="F38" s="770"/>
      <c r="G38" s="770"/>
      <c r="H38" s="687">
        <f>-IF('3. T3 TASE '!H78-'3. T3 TASE '!G78&lt;0,'3. T3 TASE '!H78-'3. T3 TASE '!G78,0)-IF('3. T3 TASE '!H79-'3. T3 TASE '!G79&lt;0,'3. T3 TASE '!H79-'3. T3 TASE '!G79,0)</f>
        <v>0</v>
      </c>
      <c r="I38" s="687">
        <f>-IF('3. T3 TASE '!I78-'3. T3 TASE '!H78&lt;0,'3. T3 TASE '!I78-'3. T3 TASE '!H78,0)-IF('3. T3 TASE '!I79-'3. T3 TASE '!H79&lt;0,'3. T3 TASE '!I79-'3. T3 TASE '!H79,0)</f>
        <v>0</v>
      </c>
      <c r="J38" s="687">
        <f>-IF('3. T3 TASE '!J78-'3. T3 TASE '!I78&lt;0,'3. T3 TASE '!J78-'3. T3 TASE '!I78,0)-IF('3. T3 TASE '!J79-'3. T3 TASE '!I79&lt;0,'3. T3 TASE '!J79-'3. T3 TASE '!I79,0)</f>
        <v>0</v>
      </c>
      <c r="K38" s="688">
        <f>-IF('3. T3 TASE '!K78-'3. T3 TASE '!J78&lt;0,'3. T3 TASE '!K78-'3. T3 TASE '!J78,0)-IF('3. T3 TASE '!K79-'3. T3 TASE '!J79&lt;0,'3. T3 TASE '!K79-'3. T3 TASE '!J79,0)</f>
        <v>0</v>
      </c>
      <c r="M38" s="408"/>
      <c r="N38" s="1090" t="s">
        <v>327</v>
      </c>
      <c r="O38" s="407"/>
      <c r="P38" s="696" t="str">
        <f>IF('3. T3 TASE '!F98=0,"",IF('3. T3 TASE '!F56&lt;0,"Heikko",IF(P37&lt;0,"Nettovelaton",IF(P37&gt;1,"","Hyvä"))))</f>
        <v/>
      </c>
      <c r="Q38" s="696" t="str">
        <f>IF('3. T3 TASE '!G98=0,"",IF('3. T3 TASE '!G56&lt;0,"Heikko",IF(Q37&lt;0,"Nettovelaton",IF(Q37&gt;1,"","Hyvä"))))</f>
        <v/>
      </c>
      <c r="R38" s="696" t="str">
        <f>IF('3. T3 TASE '!H98=0,"",IF('3. T3 TASE '!H56&lt;0,"Heikko",IF(R37&lt;0,"Nettovelaton",IF(R37&gt;1,"","Hyvä"))))</f>
        <v/>
      </c>
      <c r="S38" s="696" t="str">
        <f>IF('3. T3 TASE '!I98=0,"",IF('3. T3 TASE '!I56&lt;0,"Heikko",IF(S37&lt;0,"Nettovelaton",IF(S37&gt;1,"","Hyvä"))))</f>
        <v/>
      </c>
      <c r="T38" s="696" t="str">
        <f>IF('3. T3 TASE '!J98=0,"",IF('3. T3 TASE '!J56&lt;0,"Heikko",IF(T37&lt;0,"Nettovelaton",IF(T37&gt;1,"","Hyvä"))))</f>
        <v/>
      </c>
      <c r="U38" s="1091" t="str">
        <f>IF('3. T3 TASE '!K98=0,"",IF('3. T3 TASE '!K56&lt;0,"Heikko",IF(U37&lt;0,"Nettovelaton",IF(U37&gt;1,"","Hyvä"))))</f>
        <v/>
      </c>
      <c r="W38" s="324"/>
    </row>
    <row r="39" spans="2:23" ht="12.75" customHeight="1" x14ac:dyDescent="0.2">
      <c r="B39" s="203">
        <f t="shared" si="4"/>
        <v>23</v>
      </c>
      <c r="C39" s="1759" t="s">
        <v>748</v>
      </c>
      <c r="D39" s="1759"/>
      <c r="E39" s="236" t="s">
        <v>89</v>
      </c>
      <c r="F39" s="1043"/>
      <c r="G39" s="1043"/>
      <c r="H39" s="707">
        <f>R50</f>
        <v>0</v>
      </c>
      <c r="I39" s="707">
        <f>S50</f>
        <v>0</v>
      </c>
      <c r="J39" s="707">
        <f>T50</f>
        <v>0</v>
      </c>
      <c r="K39" s="708">
        <f>U50</f>
        <v>0</v>
      </c>
      <c r="M39" s="373" t="s">
        <v>557</v>
      </c>
      <c r="N39" s="134"/>
      <c r="O39" s="134"/>
      <c r="P39" s="140"/>
      <c r="Q39" s="140"/>
      <c r="R39" s="140"/>
      <c r="S39" s="140"/>
      <c r="T39" s="140"/>
      <c r="U39" s="703"/>
    </row>
    <row r="40" spans="2:23" ht="12.75" customHeight="1" x14ac:dyDescent="0.2">
      <c r="B40" s="203">
        <f t="shared" si="4"/>
        <v>24</v>
      </c>
      <c r="C40" s="1759" t="s">
        <v>210</v>
      </c>
      <c r="D40" s="1759"/>
      <c r="E40" s="354" t="s">
        <v>89</v>
      </c>
      <c r="F40" s="770"/>
      <c r="G40" s="770"/>
      <c r="H40" s="687">
        <f>'3. T3 TASE '!H35</f>
        <v>0</v>
      </c>
      <c r="I40" s="687">
        <f>'3. T3 TASE '!I35</f>
        <v>0</v>
      </c>
      <c r="J40" s="687">
        <f>'3. T3 TASE '!J35</f>
        <v>0</v>
      </c>
      <c r="K40" s="688">
        <f>'3. T3 TASE '!K35</f>
        <v>0</v>
      </c>
      <c r="M40" s="534" t="s">
        <v>318</v>
      </c>
      <c r="N40" s="535"/>
      <c r="O40" s="535"/>
      <c r="P40" s="700"/>
      <c r="Q40" s="700"/>
      <c r="R40" s="704">
        <f>('5. E1 KUSTANNUKSET '!F11+'5. E1 KUSTANNUKSET '!F32-'5. E1 KUSTANNUKSET '!F38+'5. E1 KUSTANNUKSET '!F39)/'2. &amp; 7. T2 TULOSSUUN. '!I33</f>
        <v>0</v>
      </c>
      <c r="S40" s="704">
        <f>('5. E1 KUSTANNUKSET '!H11+'5. E1 KUSTANNUKSET '!H32-'5. E1 KUSTANNUKSET '!H38+'5. E1 KUSTANNUKSET '!H39)/'2. &amp; 7. T2 TULOSSUUN. '!K33</f>
        <v>0</v>
      </c>
      <c r="T40" s="704">
        <f>('5. E1 KUSTANNUKSET '!J11+'5. E1 KUSTANNUKSET '!J32-'5. E1 KUSTANNUKSET '!J38+'5. E1 KUSTANNUKSET '!J39)/'2. &amp; 7. T2 TULOSSUUN. '!M33</f>
        <v>0</v>
      </c>
      <c r="U40" s="705">
        <f>('5. E1 KUSTANNUKSET '!L11+'5. E1 KUSTANNUKSET '!L32-'5. E1 KUSTANNUKSET '!L38+'5. E1 KUSTANNUKSET '!L39)/'2. &amp; 7. T2 TULOSSUUN. '!O33</f>
        <v>0</v>
      </c>
    </row>
    <row r="41" spans="2:23" ht="12.75" customHeight="1" x14ac:dyDescent="0.2">
      <c r="B41" s="203">
        <f t="shared" si="4"/>
        <v>25</v>
      </c>
      <c r="C41" s="340" t="s">
        <v>18</v>
      </c>
      <c r="D41" s="333"/>
      <c r="E41" s="487"/>
      <c r="F41" s="1043"/>
      <c r="G41" s="1043"/>
      <c r="H41" s="687">
        <f>H24+H25+H26+H27+H28+H29+H30+H36-H37+H38+H39+H40+H35+H31+H32+H33+H34</f>
        <v>0</v>
      </c>
      <c r="I41" s="687">
        <f>I24+I25+I26+I27+I28+I29+I30+I36-I37+I38+I39+I40+I35+I31+I32+I33+I34</f>
        <v>0</v>
      </c>
      <c r="J41" s="687">
        <f>J24+J25+J26+J27+J28+J29+J30+J36-J37+J38+J39+J40+J35+J31+J32+J33+J34</f>
        <v>0</v>
      </c>
      <c r="K41" s="688">
        <f>K24+K25+K26+K27+K28+K29+K30+K36-K37+K38+K39+K40+K35+K31+K32+K33+K34</f>
        <v>0</v>
      </c>
      <c r="M41" s="536" t="s">
        <v>319</v>
      </c>
      <c r="N41" s="537"/>
      <c r="O41" s="537"/>
      <c r="P41" s="706">
        <v>0</v>
      </c>
      <c r="Q41" s="700"/>
      <c r="R41" s="687">
        <f>R40+('5. E1 KUSTANNUKSET '!E38+'5. E1 KUSTANNUKSET '!E46)/'2. &amp; 7. T2 TULOSSUUN. '!I33</f>
        <v>0</v>
      </c>
      <c r="S41" s="687">
        <f>S40+('5. E1 KUSTANNUKSET '!F38+'5. E1 KUSTANNUKSET '!F46)/'2. &amp; 7. T2 TULOSSUUN. '!K33</f>
        <v>0</v>
      </c>
      <c r="T41" s="687">
        <f>T40+('5. E1 KUSTANNUKSET '!G38+'5. E1 KUSTANNUKSET '!G46)/'2. &amp; 7. T2 TULOSSUUN. '!M33</f>
        <v>0</v>
      </c>
      <c r="U41" s="688">
        <f>U40+('5. E1 KUSTANNUKSET '!H38+'5. E1 KUSTANNUKSET '!H46)/'2. &amp; 7. T2 TULOSSUUN. '!O33</f>
        <v>0</v>
      </c>
    </row>
    <row r="42" spans="2:23" ht="12.75" customHeight="1" thickBot="1" x14ac:dyDescent="0.25">
      <c r="B42" s="356">
        <f t="shared" si="4"/>
        <v>26</v>
      </c>
      <c r="C42" s="488" t="s">
        <v>475</v>
      </c>
      <c r="D42" s="488"/>
      <c r="E42" s="489"/>
      <c r="F42" s="785"/>
      <c r="G42" s="785"/>
      <c r="H42" s="786">
        <f>H21-H41</f>
        <v>0</v>
      </c>
      <c r="I42" s="786">
        <f>I21-I41</f>
        <v>0</v>
      </c>
      <c r="J42" s="786">
        <f>J21-J41</f>
        <v>0</v>
      </c>
      <c r="K42" s="787">
        <f>K21-K41</f>
        <v>0</v>
      </c>
      <c r="M42" s="545" t="s">
        <v>429</v>
      </c>
      <c r="P42" s="816">
        <f>IF('2. &amp; 7. T2 TULOSSUUN. '!E14=0,0,1.77*100*F15/'2. &amp; 7. T2 TULOSSUUN. '!E14+14.14*P27+0.54*P35)</f>
        <v>0</v>
      </c>
      <c r="Q42" s="816">
        <f>IF('2. &amp; 7. T2 TULOSSUUN. '!G14=0,0,1.77*100*G15/'2. &amp; 7. T2 TULOSSUUN. '!G14+14.14*Q27+0.54*Q35)</f>
        <v>0</v>
      </c>
      <c r="R42" s="816">
        <f>IF('2. &amp; 7. T2 TULOSSUUN. '!I14=0,0,1.77*100*H15/'2. &amp; 7. T2 TULOSSUUN. '!I14+14.14*R27+0.54*R35)</f>
        <v>0</v>
      </c>
      <c r="S42" s="816">
        <f>IF('2. &amp; 7. T2 TULOSSUUN. '!K14=0,0,1.77*100*I15/'2. &amp; 7. T2 TULOSSUUN. '!K14+14.14*S27+0.54*S35)</f>
        <v>0</v>
      </c>
      <c r="T42" s="816">
        <f>IF('2. &amp; 7. T2 TULOSSUUN. '!M14=0,0,1.77*100*J15/'2. &amp; 7. T2 TULOSSUUN. '!M14+14.14*T27+0.54*T35)</f>
        <v>0</v>
      </c>
      <c r="U42" s="1111">
        <f>IF('2. &amp; 7. T2 TULOSSUUN. '!O14=0,0,1.77*100*K15/'2. &amp; 7. T2 TULOSSUUN. '!O14+14.14*U27+0.54*U35)</f>
        <v>0</v>
      </c>
    </row>
    <row r="43" spans="2:23" ht="12.75" customHeight="1" thickBot="1" x14ac:dyDescent="0.25">
      <c r="B43" s="203">
        <f t="shared" si="4"/>
        <v>27</v>
      </c>
      <c r="C43" s="379" t="s">
        <v>116</v>
      </c>
      <c r="D43" s="484">
        <v>0</v>
      </c>
      <c r="E43" s="380"/>
      <c r="F43" s="788">
        <f>'3. T3 TASE '!F49</f>
        <v>0</v>
      </c>
      <c r="G43" s="788">
        <f>'3. T3 TASE '!G49</f>
        <v>0</v>
      </c>
      <c r="H43" s="788">
        <f>H42+G43</f>
        <v>0</v>
      </c>
      <c r="I43" s="788">
        <f>I42+H43</f>
        <v>0</v>
      </c>
      <c r="J43" s="788">
        <f>J42+I43</f>
        <v>0</v>
      </c>
      <c r="K43" s="789">
        <f>K42+J43</f>
        <v>0</v>
      </c>
      <c r="M43" s="1938" t="s">
        <v>684</v>
      </c>
      <c r="N43" s="1939"/>
      <c r="O43" s="1940"/>
      <c r="P43" s="696">
        <f>IF('2. &amp; 7. T2 TULOSSUUN. '!E14=0,0,IF(P42&gt;28,"Hyvä",IF(P42&lt;18,"Heikko","Tyydyttävä")))</f>
        <v>0</v>
      </c>
      <c r="Q43" s="696">
        <f>IF('2. &amp; 7. T2 TULOSSUUN. '!G14=0,0,IF(Q42&gt;28,"Hyvä",IF(Q42&lt;18,"Heikko","Tyydyttävä")))</f>
        <v>0</v>
      </c>
      <c r="R43" s="696">
        <f>IF('2. &amp; 7. T2 TULOSSUUN. '!I14=0,0,IF(R42&gt;28,"Hyvä",IF(R42&lt;18,"Heikko","Tyydyttävä")))</f>
        <v>0</v>
      </c>
      <c r="S43" s="696">
        <f>IF('2. &amp; 7. T2 TULOSSUUN. '!K14=0,0,IF(S42&gt;28,"Hyvä",IF(S42&lt;18,"Heikko","Tyydyttävä")))</f>
        <v>0</v>
      </c>
      <c r="T43" s="696">
        <f>IF('2. &amp; 7. T2 TULOSSUUN. '!M14=0,0,IF(T42&gt;28,"Hyvä",IF(T42&lt;18,"Heikko","Tyydyttävä")))</f>
        <v>0</v>
      </c>
      <c r="U43" s="1091">
        <f>IF('2. &amp; 7. T2 TULOSSUUN. '!O14=0,0,IF(U42&gt;28,"Hyvä",IF(U42&lt;18,"Heikko","Tyydyttävä")))</f>
        <v>0</v>
      </c>
    </row>
    <row r="44" spans="2:23" ht="13.15" customHeight="1" thickBot="1" x14ac:dyDescent="0.25">
      <c r="B44" s="86"/>
      <c r="C44" s="1921" t="s">
        <v>423</v>
      </c>
      <c r="D44" s="1921"/>
      <c r="E44" s="1922"/>
      <c r="F44" s="1108">
        <v>0</v>
      </c>
      <c r="G44" s="1108">
        <f>IF('5. E1 KUSTANNUKSET '!D45=0,0,G43/'5. E1 KUSTANNUKSET '!D45*365)</f>
        <v>0</v>
      </c>
      <c r="H44" s="1108">
        <f>IF('5. E1 KUSTANNUKSET '!F45=0,0,H43/'5. E1 KUSTANNUKSET '!F45*365)</f>
        <v>0</v>
      </c>
      <c r="I44" s="1108">
        <f>IF('5. E1 KUSTANNUKSET '!H45=0,0,I43/'5. E1 KUSTANNUKSET '!H45*365)</f>
        <v>0</v>
      </c>
      <c r="J44" s="1108">
        <f>IF('5. E1 KUSTANNUKSET '!J45=0,0,J43/'5. E1 KUSTANNUKSET '!J45*365)</f>
        <v>0</v>
      </c>
      <c r="K44" s="1109">
        <f>IF('5. E1 KUSTANNUKSET '!L45=0,0,K43/'5. E1 KUSTANNUKSET '!L45*365)</f>
        <v>0</v>
      </c>
      <c r="M44" s="377" t="s">
        <v>558</v>
      </c>
      <c r="N44" s="381"/>
      <c r="O44" s="381"/>
      <c r="P44" s="1341">
        <f>'8. T4 RAHOITUSSUUN. '!F11</f>
        <v>2021</v>
      </c>
      <c r="Q44" s="1341">
        <f>'8. T4 RAHOITUSSUUN. '!G11</f>
        <v>2022</v>
      </c>
      <c r="R44" s="1341">
        <f>'8. T4 RAHOITUSSUUN. '!H11</f>
        <v>2024</v>
      </c>
      <c r="S44" s="1341">
        <f>'8. T4 RAHOITUSSUUN. '!I11</f>
        <v>2025</v>
      </c>
      <c r="T44" s="1341">
        <f>'8. T4 RAHOITUSSUUN. '!J11</f>
        <v>2026</v>
      </c>
      <c r="U44" s="1342">
        <f>'8. T4 RAHOITUSSUUN. '!K11</f>
        <v>2027</v>
      </c>
    </row>
    <row r="45" spans="2:23" ht="13.15" customHeight="1" thickBot="1" x14ac:dyDescent="0.25">
      <c r="B45" s="254"/>
      <c r="C45" s="55"/>
      <c r="D45" s="55"/>
      <c r="E45" s="55"/>
      <c r="F45" s="55"/>
      <c r="G45" s="287"/>
      <c r="H45" s="372"/>
      <c r="I45" s="372"/>
      <c r="J45" s="372"/>
      <c r="K45" s="372"/>
      <c r="L45" s="2"/>
      <c r="M45" s="534" t="s">
        <v>287</v>
      </c>
      <c r="N45" s="329"/>
      <c r="O45" s="329"/>
      <c r="P45" s="687">
        <f>'3. T3 TASE '!F98</f>
        <v>0</v>
      </c>
      <c r="Q45" s="687">
        <f>'3. T3 TASE '!G98</f>
        <v>0</v>
      </c>
      <c r="R45" s="687">
        <f>'3. T3 TASE '!H98</f>
        <v>0</v>
      </c>
      <c r="S45" s="687">
        <f>'3. T3 TASE '!I98</f>
        <v>0</v>
      </c>
      <c r="T45" s="687">
        <f>'3. T3 TASE '!J98</f>
        <v>0</v>
      </c>
      <c r="U45" s="688">
        <f>'3. T3 TASE '!K98</f>
        <v>0</v>
      </c>
    </row>
    <row r="46" spans="2:23" ht="12.75" customHeight="1" x14ac:dyDescent="0.2">
      <c r="B46" s="1923" t="s">
        <v>353</v>
      </c>
      <c r="C46" s="1924"/>
      <c r="D46" s="1924"/>
      <c r="E46" s="1925"/>
      <c r="F46" s="1337" t="str">
        <f t="shared" ref="F46:K46" si="6">F10</f>
        <v>Tot. tilikausi</v>
      </c>
      <c r="G46" s="1337" t="str">
        <f t="shared" si="6"/>
        <v>Tot. tilikausi</v>
      </c>
      <c r="H46" s="1338" t="str">
        <f t="shared" si="6"/>
        <v>Ennuste 1</v>
      </c>
      <c r="I46" s="1338" t="str">
        <f t="shared" si="6"/>
        <v>Ennuste 2</v>
      </c>
      <c r="J46" s="1338" t="str">
        <f t="shared" si="6"/>
        <v>Ennuste 3</v>
      </c>
      <c r="K46" s="1339" t="str">
        <f t="shared" si="6"/>
        <v>Ennuste 4</v>
      </c>
      <c r="M46" s="536" t="s">
        <v>456</v>
      </c>
      <c r="N46" s="330"/>
      <c r="O46" s="330"/>
      <c r="P46" s="687">
        <f>-('3. T3 TASE '!F67+'3. T3 TASE '!F75)</f>
        <v>0</v>
      </c>
      <c r="Q46" s="687">
        <f>-('3. T3 TASE '!G67+'3. T3 TASE '!G75)</f>
        <v>0</v>
      </c>
      <c r="R46" s="687">
        <f>-('3. T3 TASE '!H67+'3. T3 TASE '!H75)</f>
        <v>0</v>
      </c>
      <c r="S46" s="687">
        <f>-('3. T3 TASE '!I67+'3. T3 TASE '!I75)</f>
        <v>0</v>
      </c>
      <c r="T46" s="687">
        <f>-('3. T3 TASE '!J67+'3. T3 TASE '!J75)</f>
        <v>0</v>
      </c>
      <c r="U46" s="688">
        <f>-('3. T3 TASE '!K67+'3. T3 TASE '!K75)</f>
        <v>0</v>
      </c>
    </row>
    <row r="47" spans="2:23" ht="12.75" customHeight="1" x14ac:dyDescent="0.2">
      <c r="B47" s="1926"/>
      <c r="C47" s="1927"/>
      <c r="D47" s="1927"/>
      <c r="E47" s="1928"/>
      <c r="F47" s="1340">
        <f t="shared" ref="F47:K47" si="7">F11</f>
        <v>2021</v>
      </c>
      <c r="G47" s="1340">
        <f t="shared" si="7"/>
        <v>2022</v>
      </c>
      <c r="H47" s="1331">
        <f t="shared" si="7"/>
        <v>2024</v>
      </c>
      <c r="I47" s="1331">
        <f t="shared" si="7"/>
        <v>2025</v>
      </c>
      <c r="J47" s="1331">
        <f t="shared" si="7"/>
        <v>2026</v>
      </c>
      <c r="K47" s="1332">
        <f t="shared" si="7"/>
        <v>2027</v>
      </c>
      <c r="M47" s="536" t="s">
        <v>457</v>
      </c>
      <c r="N47" s="537"/>
      <c r="O47" s="537"/>
      <c r="P47" s="707">
        <v>0</v>
      </c>
      <c r="Q47" s="707">
        <v>0</v>
      </c>
      <c r="R47" s="707">
        <v>0</v>
      </c>
      <c r="S47" s="707">
        <v>0</v>
      </c>
      <c r="T47" s="707">
        <v>0</v>
      </c>
      <c r="U47" s="708">
        <v>0</v>
      </c>
    </row>
    <row r="48" spans="2:23" ht="12.75" customHeight="1" thickBot="1" x14ac:dyDescent="0.25">
      <c r="B48" s="1929"/>
      <c r="C48" s="1930"/>
      <c r="D48" s="1930"/>
      <c r="E48" s="1931"/>
      <c r="F48" s="1335" t="s">
        <v>17</v>
      </c>
      <c r="G48" s="1335" t="s">
        <v>17</v>
      </c>
      <c r="H48" s="1335" t="str">
        <f>G48</f>
        <v>Euroa</v>
      </c>
      <c r="I48" s="1335" t="str">
        <f>H48</f>
        <v>Euroa</v>
      </c>
      <c r="J48" s="1335" t="str">
        <f>I48</f>
        <v>Euroa</v>
      </c>
      <c r="K48" s="1336" t="str">
        <f>J48</f>
        <v>Euroa</v>
      </c>
      <c r="M48" s="536" t="s">
        <v>458</v>
      </c>
      <c r="N48" s="537"/>
      <c r="O48" s="537"/>
      <c r="P48" s="707">
        <v>0</v>
      </c>
      <c r="Q48" s="707">
        <v>0</v>
      </c>
      <c r="R48" s="707">
        <v>0</v>
      </c>
      <c r="S48" s="707">
        <v>0</v>
      </c>
      <c r="T48" s="707">
        <v>0</v>
      </c>
      <c r="U48" s="708">
        <v>0</v>
      </c>
    </row>
    <row r="49" spans="2:21" ht="12.75" customHeight="1" x14ac:dyDescent="0.2">
      <c r="B49" s="203">
        <v>28</v>
      </c>
      <c r="C49" s="1785" t="s">
        <v>117</v>
      </c>
      <c r="D49" s="1785"/>
      <c r="E49" s="573" t="s">
        <v>89</v>
      </c>
      <c r="F49" s="709">
        <f>'3. T3 TASE '!F39</f>
        <v>0</v>
      </c>
      <c r="G49" s="709">
        <f>'3. T3 TASE '!G39</f>
        <v>0</v>
      </c>
      <c r="H49" s="709">
        <f>IF('2. &amp; 7. T2 TULOSSUUN. '!I15=0,0,'2. &amp; 7. T2 TULOSSUUN. '!I11*'8. T4 RAHOITUSSUUN. '!H50)</f>
        <v>0</v>
      </c>
      <c r="I49" s="709">
        <f>IF('2. &amp; 7. T2 TULOSSUUN. '!K15=0,0,'2. &amp; 7. T2 TULOSSUUN. '!K11*'8. T4 RAHOITUSSUUN. '!I50)</f>
        <v>0</v>
      </c>
      <c r="J49" s="709">
        <f>IF('2. &amp; 7. T2 TULOSSUUN. '!M15=0,0,'2. &amp; 7. T2 TULOSSUUN. '!M11*'8. T4 RAHOITUSSUUN. '!J50)</f>
        <v>0</v>
      </c>
      <c r="K49" s="1110">
        <f>IF('2. &amp; 7. T2 TULOSSUUN. '!O15=0,0,'2. &amp; 7. T2 TULOSSUUN. '!O11*'8. T4 RAHOITUSSUUN. '!K50)</f>
        <v>0</v>
      </c>
      <c r="M49" s="536" t="s">
        <v>286</v>
      </c>
      <c r="N49" s="330"/>
      <c r="O49" s="330"/>
      <c r="P49" s="709">
        <f t="shared" ref="P49:U49" si="8">P45+P46-P47-P48</f>
        <v>0</v>
      </c>
      <c r="Q49" s="709">
        <f t="shared" si="8"/>
        <v>0</v>
      </c>
      <c r="R49" s="709">
        <f t="shared" si="8"/>
        <v>0</v>
      </c>
      <c r="S49" s="709">
        <f t="shared" si="8"/>
        <v>0</v>
      </c>
      <c r="T49" s="709">
        <f t="shared" si="8"/>
        <v>0</v>
      </c>
      <c r="U49" s="710">
        <f t="shared" si="8"/>
        <v>0</v>
      </c>
    </row>
    <row r="50" spans="2:21" ht="12.75" customHeight="1" x14ac:dyDescent="0.2">
      <c r="B50" s="203"/>
      <c r="C50" s="1900" t="s">
        <v>633</v>
      </c>
      <c r="D50" s="1901"/>
      <c r="E50" s="810"/>
      <c r="F50" s="1003">
        <f>IF('2. &amp; 7. T2 TULOSSUUN. '!E11=0,0,F49/'2. &amp; 7. T2 TULOSSUUN. '!E11)</f>
        <v>0</v>
      </c>
      <c r="G50" s="1003">
        <f>IF('2. &amp; 7. T2 TULOSSUUN. '!G11=0,0,G49/'2. &amp; 7. T2 TULOSSUUN. '!G11)</f>
        <v>0</v>
      </c>
      <c r="H50" s="1075">
        <f>G50</f>
        <v>0</v>
      </c>
      <c r="I50" s="1075">
        <f>H50</f>
        <v>0</v>
      </c>
      <c r="J50" s="1075">
        <f>I50</f>
        <v>0</v>
      </c>
      <c r="K50" s="1077">
        <f>J50</f>
        <v>0</v>
      </c>
      <c r="M50" s="530" t="s">
        <v>417</v>
      </c>
      <c r="N50" s="531"/>
      <c r="O50" s="531"/>
      <c r="P50" s="700"/>
      <c r="Q50" s="700"/>
      <c r="R50" s="814">
        <f>IF(8%*Q49&lt;0,0,8%*Q49)</f>
        <v>0</v>
      </c>
      <c r="S50" s="814">
        <f>IF(8%*R49&lt;0,0,8%*R49)</f>
        <v>0</v>
      </c>
      <c r="T50" s="814">
        <f>IF(8%*S49&lt;0,0,8%*S49)</f>
        <v>0</v>
      </c>
      <c r="U50" s="815">
        <f>IF(8%*T49&lt;0,0,8%*T49)</f>
        <v>0</v>
      </c>
    </row>
    <row r="51" spans="2:21" ht="12.75" customHeight="1" x14ac:dyDescent="0.2">
      <c r="B51" s="203">
        <v>29</v>
      </c>
      <c r="C51" s="1899" t="s">
        <v>140</v>
      </c>
      <c r="D51" s="1899"/>
      <c r="E51" s="541" t="s">
        <v>89</v>
      </c>
      <c r="F51" s="687">
        <f>'3. T3 TASE '!F42</f>
        <v>0</v>
      </c>
      <c r="G51" s="687">
        <f>'3. T3 TASE '!G42</f>
        <v>0</v>
      </c>
      <c r="H51" s="687">
        <f>H52*'2. &amp; 7. T2 TULOSSUUN. '!I11/365</f>
        <v>0</v>
      </c>
      <c r="I51" s="687">
        <f>I52*'2. &amp; 7. T2 TULOSSUUN. '!K11/365</f>
        <v>0</v>
      </c>
      <c r="J51" s="687">
        <f>J52*'2. &amp; 7. T2 TULOSSUUN. '!M11/365</f>
        <v>0</v>
      </c>
      <c r="K51" s="688">
        <f>K52*'2. &amp; 7. T2 TULOSSUUN. '!O11/365</f>
        <v>0</v>
      </c>
      <c r="L51" s="811"/>
      <c r="M51" s="1941" t="s">
        <v>416</v>
      </c>
      <c r="N51" s="1942"/>
      <c r="O51" s="1943"/>
      <c r="P51" s="706"/>
      <c r="Q51" s="706">
        <v>0</v>
      </c>
      <c r="R51" s="1086">
        <f>IF(R50=0,0,R50/Q49)</f>
        <v>0</v>
      </c>
      <c r="S51" s="1086">
        <f>IF(S50=0,0,S50/R49)</f>
        <v>0</v>
      </c>
      <c r="T51" s="1086">
        <f>IF(T50=0,0,T50/S49)</f>
        <v>0</v>
      </c>
      <c r="U51" s="1087">
        <f>IF(U50=0,0,U50/T49)</f>
        <v>0</v>
      </c>
    </row>
    <row r="52" spans="2:21" ht="12.75" customHeight="1" x14ac:dyDescent="0.2">
      <c r="B52" s="203"/>
      <c r="C52" s="1900" t="s">
        <v>283</v>
      </c>
      <c r="D52" s="1901"/>
      <c r="E52" s="809"/>
      <c r="F52" s="1080">
        <f>IF('2. &amp; 7. T2 TULOSSUUN. '!E11=0,0,365*F51/'2. &amp; 7. T2 TULOSSUUN. '!E11)</f>
        <v>0</v>
      </c>
      <c r="G52" s="1080">
        <f>IF('2. &amp; 7. T2 TULOSSUUN. '!G11=0,0,365*G51/'2. &amp; 7. T2 TULOSSUUN. '!G11)</f>
        <v>0</v>
      </c>
      <c r="H52" s="1081">
        <f>G52</f>
        <v>0</v>
      </c>
      <c r="I52" s="1081">
        <f>H52</f>
        <v>0</v>
      </c>
      <c r="J52" s="1081">
        <f>I52</f>
        <v>0</v>
      </c>
      <c r="K52" s="1082">
        <f>J52</f>
        <v>0</v>
      </c>
      <c r="L52" s="811"/>
      <c r="M52" s="1941" t="s">
        <v>577</v>
      </c>
      <c r="N52" s="1942"/>
      <c r="O52" s="1943"/>
      <c r="P52" s="706"/>
      <c r="Q52" s="706">
        <v>0</v>
      </c>
      <c r="R52" s="1086">
        <f>IF(R50=0,0,R50/'2. &amp; 7. T2 TULOSSUUN. '!I31)</f>
        <v>0</v>
      </c>
      <c r="S52" s="1086">
        <f>IF(S50=0,0,S50/'2. &amp; 7. T2 TULOSSUUN. '!K31)</f>
        <v>0</v>
      </c>
      <c r="T52" s="1086">
        <f>IF(T50=0,0,T50/'2. &amp; 7. T2 TULOSSUUN. '!M31)</f>
        <v>0</v>
      </c>
      <c r="U52" s="1087">
        <f>IF(U50=0,0,U50/'2. &amp; 7. T2 TULOSSUUN. '!O31)</f>
        <v>0</v>
      </c>
    </row>
    <row r="53" spans="2:21" ht="12.75" customHeight="1" x14ac:dyDescent="0.2">
      <c r="B53" s="203">
        <v>30</v>
      </c>
      <c r="C53" s="1899" t="s">
        <v>280</v>
      </c>
      <c r="D53" s="1899"/>
      <c r="E53" s="541" t="s">
        <v>89</v>
      </c>
      <c r="F53" s="687">
        <f>'3. T3 TASE '!F46+'3. T3 TASE '!F47</f>
        <v>0</v>
      </c>
      <c r="G53" s="687">
        <f>'3. T3 TASE '!G46+'3. T3 TASE '!G47</f>
        <v>0</v>
      </c>
      <c r="H53" s="687">
        <f>'3. T3 TASE '!H46+'3. T3 TASE '!H47</f>
        <v>0</v>
      </c>
      <c r="I53" s="687">
        <f>'3. T3 TASE '!I46+'3. T3 TASE '!I47</f>
        <v>0</v>
      </c>
      <c r="J53" s="687">
        <f>'3. T3 TASE '!J46+'3. T3 TASE '!J47</f>
        <v>0</v>
      </c>
      <c r="K53" s="688">
        <f>'3. T3 TASE '!K46+'3. T3 TASE '!K47</f>
        <v>0</v>
      </c>
      <c r="M53" s="411"/>
      <c r="N53" s="331"/>
      <c r="O53" s="331"/>
      <c r="P53" s="331"/>
      <c r="Q53" s="331"/>
      <c r="R53" s="331"/>
      <c r="S53" s="331"/>
      <c r="T53" s="331"/>
      <c r="U53" s="369"/>
    </row>
    <row r="54" spans="2:21" ht="12.75" customHeight="1" x14ac:dyDescent="0.2">
      <c r="B54" s="203">
        <v>31</v>
      </c>
      <c r="C54" s="1899" t="s">
        <v>141</v>
      </c>
      <c r="D54" s="1899"/>
      <c r="E54" s="541" t="s">
        <v>89</v>
      </c>
      <c r="F54" s="687">
        <f>'3. T3 TASE '!F44</f>
        <v>0</v>
      </c>
      <c r="G54" s="687">
        <f>'3. T3 TASE '!G44</f>
        <v>0</v>
      </c>
      <c r="H54" s="687">
        <f>H55*'2. &amp; 7. T2 TULOSSUUN. '!I11</f>
        <v>0</v>
      </c>
      <c r="I54" s="687">
        <f>I55*'2. &amp; 7. T2 TULOSSUUN. '!K11</f>
        <v>0</v>
      </c>
      <c r="J54" s="687">
        <f>J55*'2. &amp; 7. T2 TULOSSUUN. '!M11</f>
        <v>0</v>
      </c>
      <c r="K54" s="688">
        <f>K55*'2. &amp; 7. T2 TULOSSUUN. '!O11</f>
        <v>0</v>
      </c>
      <c r="M54" s="411"/>
      <c r="N54" s="331"/>
      <c r="O54" s="331">
        <v>0</v>
      </c>
      <c r="P54" s="331"/>
      <c r="Q54" s="331"/>
      <c r="R54" s="331"/>
      <c r="S54" s="331"/>
      <c r="T54" s="331"/>
      <c r="U54" s="369"/>
    </row>
    <row r="55" spans="2:21" ht="12.75" customHeight="1" x14ac:dyDescent="0.2">
      <c r="B55" s="203"/>
      <c r="C55" s="1900" t="s">
        <v>447</v>
      </c>
      <c r="D55" s="1901"/>
      <c r="E55" s="809"/>
      <c r="F55" s="1003">
        <f>IF('2. &amp; 7. T2 TULOSSUUN. '!E11=0,0,F54/'2. &amp; 7. T2 TULOSSUUN. '!E11)</f>
        <v>0</v>
      </c>
      <c r="G55" s="1003">
        <f>IF('2. &amp; 7. T2 TULOSSUUN. '!G11=0,0,G54/'2. &amp; 7. T2 TULOSSUUN. '!G11)</f>
        <v>0</v>
      </c>
      <c r="H55" s="1075">
        <f>G55</f>
        <v>0</v>
      </c>
      <c r="I55" s="1075">
        <f>H55</f>
        <v>0</v>
      </c>
      <c r="J55" s="1075">
        <f>I55</f>
        <v>0</v>
      </c>
      <c r="K55" s="1077">
        <f>J55</f>
        <v>0</v>
      </c>
      <c r="M55" s="411"/>
      <c r="N55" s="331"/>
      <c r="O55" s="331"/>
      <c r="P55" s="331"/>
      <c r="Q55" s="331"/>
      <c r="R55" s="331"/>
      <c r="S55" s="331"/>
      <c r="T55" s="331"/>
      <c r="U55" s="369"/>
    </row>
    <row r="56" spans="2:21" ht="12.75" customHeight="1" x14ac:dyDescent="0.2">
      <c r="B56" s="203">
        <v>32</v>
      </c>
      <c r="C56" s="1759" t="s">
        <v>142</v>
      </c>
      <c r="D56" s="1759"/>
      <c r="E56" s="542" t="s">
        <v>424</v>
      </c>
      <c r="F56" s="687">
        <f>'3. T3 TASE '!F81</f>
        <v>0</v>
      </c>
      <c r="G56" s="687">
        <f>'3. T3 TASE '!G81</f>
        <v>0</v>
      </c>
      <c r="H56" s="687">
        <f>IF('2. &amp; 7. T2 TULOSSUUN. '!I11=0,0,-H57*('2. &amp; 7. T2 TULOSSUUN. '!I15+'2. &amp; 7. T2 TULOSSUUN. '!I16+'2. &amp; 7. T2 TULOSSUUN. '!I18)/365)</f>
        <v>0</v>
      </c>
      <c r="I56" s="687">
        <f>IF('2. &amp; 7. T2 TULOSSUUN. '!K11=0,0,-I57*('2. &amp; 7. T2 TULOSSUUN. '!K15+'2. &amp; 7. T2 TULOSSUUN. '!K16+'2. &amp; 7. T2 TULOSSUUN. '!K18)/365)</f>
        <v>0</v>
      </c>
      <c r="J56" s="687">
        <f>IF('2. &amp; 7. T2 TULOSSUUN. '!M11=0,0,-J57*('2. &amp; 7. T2 TULOSSUUN. '!M15+'2. &amp; 7. T2 TULOSSUUN. '!M16+'2. &amp; 7. T2 TULOSSUUN. '!M18)/365)</f>
        <v>0</v>
      </c>
      <c r="K56" s="688">
        <f>IF('2. &amp; 7. T2 TULOSSUUN. '!O11=0,0,-K57*('2. &amp; 7. T2 TULOSSUUN. '!O15+'2. &amp; 7. T2 TULOSSUUN. '!O16+'2. &amp; 7. T2 TULOSSUUN. '!O18)/365)</f>
        <v>0</v>
      </c>
      <c r="M56" s="411"/>
      <c r="N56" s="331"/>
      <c r="O56" s="331"/>
      <c r="P56" s="331"/>
      <c r="Q56" s="331"/>
      <c r="R56" s="331"/>
      <c r="S56" s="331"/>
      <c r="T56" s="331"/>
      <c r="U56" s="369"/>
    </row>
    <row r="57" spans="2:21" ht="12.75" customHeight="1" x14ac:dyDescent="0.2">
      <c r="B57" s="203"/>
      <c r="C57" s="1900" t="s">
        <v>439</v>
      </c>
      <c r="D57" s="1901"/>
      <c r="E57" s="809"/>
      <c r="F57" s="1080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80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81">
        <f>G57</f>
        <v>0</v>
      </c>
      <c r="I57" s="1081">
        <f>H57</f>
        <v>0</v>
      </c>
      <c r="J57" s="1081">
        <f>I57</f>
        <v>0</v>
      </c>
      <c r="K57" s="1082">
        <f>J57</f>
        <v>0</v>
      </c>
      <c r="M57" s="411"/>
      <c r="N57" s="331"/>
      <c r="O57" s="331"/>
      <c r="P57" s="331"/>
      <c r="Q57" s="331"/>
      <c r="R57" s="331"/>
      <c r="S57" s="331"/>
      <c r="T57" s="331"/>
      <c r="U57" s="369"/>
    </row>
    <row r="58" spans="2:21" ht="12.75" customHeight="1" x14ac:dyDescent="0.2">
      <c r="B58" s="203">
        <v>33</v>
      </c>
      <c r="C58" s="1759" t="s">
        <v>143</v>
      </c>
      <c r="D58" s="1759"/>
      <c r="E58" s="542" t="s">
        <v>424</v>
      </c>
      <c r="F58" s="687">
        <f>'3. T3 TASE '!F96</f>
        <v>0</v>
      </c>
      <c r="G58" s="687">
        <f>'3. T3 TASE '!G96</f>
        <v>0</v>
      </c>
      <c r="H58" s="687">
        <f>H59*'2. &amp; 7. T2 TULOSSUUN. '!I11</f>
        <v>0</v>
      </c>
      <c r="I58" s="687">
        <f>I59*'2. &amp; 7. T2 TULOSSUUN. '!K11</f>
        <v>0</v>
      </c>
      <c r="J58" s="687">
        <f>J59*'2. &amp; 7. T2 TULOSSUUN. '!M11</f>
        <v>0</v>
      </c>
      <c r="K58" s="688">
        <f>K59*'2. &amp; 7. T2 TULOSSUUN. '!O11</f>
        <v>0</v>
      </c>
      <c r="M58" s="411"/>
      <c r="N58" s="331"/>
      <c r="O58" s="331"/>
      <c r="P58" s="331"/>
      <c r="Q58" s="331"/>
      <c r="R58" s="331"/>
      <c r="S58" s="331"/>
      <c r="T58" s="331"/>
      <c r="U58" s="369"/>
    </row>
    <row r="59" spans="2:21" ht="12.75" customHeight="1" x14ac:dyDescent="0.2">
      <c r="B59" s="203"/>
      <c r="C59" s="1900" t="s">
        <v>446</v>
      </c>
      <c r="D59" s="1901"/>
      <c r="E59" s="809"/>
      <c r="F59" s="1083">
        <f>IF('2. &amp; 7. T2 TULOSSUUN. '!E11=0,0,F58/'2. &amp; 7. T2 TULOSSUUN. '!E11)</f>
        <v>0</v>
      </c>
      <c r="G59" s="1083">
        <f>IF('2. &amp; 7. T2 TULOSSUUN. '!G11=0,0,G58/'2. &amp; 7. T2 TULOSSUUN. '!G11)</f>
        <v>0</v>
      </c>
      <c r="H59" s="1084">
        <f>G59</f>
        <v>0</v>
      </c>
      <c r="I59" s="1084">
        <f>H59</f>
        <v>0</v>
      </c>
      <c r="J59" s="1084">
        <f>I59</f>
        <v>0</v>
      </c>
      <c r="K59" s="1085">
        <f>J59</f>
        <v>0</v>
      </c>
      <c r="M59" s="411"/>
      <c r="N59" s="331"/>
      <c r="O59" s="331"/>
      <c r="P59" s="331"/>
      <c r="Q59" s="331"/>
      <c r="R59" s="331"/>
      <c r="S59" s="331"/>
      <c r="T59" s="331"/>
      <c r="U59" s="369"/>
    </row>
    <row r="60" spans="2:21" ht="12.75" customHeight="1" x14ac:dyDescent="0.2">
      <c r="B60" s="203">
        <v>34</v>
      </c>
      <c r="C60" s="1759" t="s">
        <v>144</v>
      </c>
      <c r="D60" s="1759"/>
      <c r="E60" s="543" t="s">
        <v>145</v>
      </c>
      <c r="F60" s="687">
        <f t="shared" ref="F60:K60" si="9">F49+F51+F54-F56-F58+F53</f>
        <v>0</v>
      </c>
      <c r="G60" s="687">
        <f t="shared" si="9"/>
        <v>0</v>
      </c>
      <c r="H60" s="687">
        <f t="shared" si="9"/>
        <v>0</v>
      </c>
      <c r="I60" s="687">
        <f t="shared" si="9"/>
        <v>0</v>
      </c>
      <c r="J60" s="687">
        <f t="shared" si="9"/>
        <v>0</v>
      </c>
      <c r="K60" s="688">
        <f t="shared" si="9"/>
        <v>0</v>
      </c>
      <c r="M60" s="411"/>
      <c r="N60" s="331"/>
      <c r="O60" s="331"/>
      <c r="P60" s="331"/>
      <c r="Q60" s="331"/>
      <c r="R60" s="331"/>
      <c r="S60" s="331"/>
      <c r="T60" s="331"/>
      <c r="U60" s="369"/>
    </row>
    <row r="61" spans="2:21" ht="12.75" customHeight="1" thickBot="1" x14ac:dyDescent="0.25">
      <c r="B61" s="356">
        <v>35</v>
      </c>
      <c r="C61" s="1905" t="s">
        <v>119</v>
      </c>
      <c r="D61" s="1905"/>
      <c r="E61" s="540" t="s">
        <v>96</v>
      </c>
      <c r="F61" s="790"/>
      <c r="G61" s="786">
        <f>G60-F60</f>
        <v>0</v>
      </c>
      <c r="H61" s="786">
        <f>IF(G60=0,0,H60-G60)</f>
        <v>0</v>
      </c>
      <c r="I61" s="786">
        <f>I60-H60</f>
        <v>0</v>
      </c>
      <c r="J61" s="786">
        <f>J60-I60</f>
        <v>0</v>
      </c>
      <c r="K61" s="787">
        <f>K60-J60</f>
        <v>0</v>
      </c>
      <c r="M61" s="427"/>
      <c r="N61" s="370"/>
      <c r="O61" s="370"/>
      <c r="P61" s="370"/>
      <c r="Q61" s="370"/>
      <c r="R61" s="370"/>
      <c r="S61" s="370"/>
      <c r="T61" s="370"/>
      <c r="U61" s="371"/>
    </row>
    <row r="62" spans="2:21" ht="12.75" customHeight="1" x14ac:dyDescent="0.2">
      <c r="B62" s="175"/>
      <c r="C62" s="328"/>
      <c r="D62" s="328"/>
      <c r="E62" s="1045"/>
      <c r="F62" s="190"/>
      <c r="G62" s="1046"/>
      <c r="H62" s="1046"/>
      <c r="I62" s="1046"/>
      <c r="J62" s="1046"/>
      <c r="K62" s="1048"/>
      <c r="M62" s="1047"/>
      <c r="N62" s="1047"/>
      <c r="O62" s="1047"/>
      <c r="P62" s="1047"/>
      <c r="Q62" s="1047"/>
      <c r="R62" s="1047"/>
      <c r="S62" s="1047"/>
      <c r="T62" s="1047"/>
      <c r="U62" s="1047"/>
    </row>
    <row r="63" spans="2:21" ht="12.75" customHeight="1" x14ac:dyDescent="0.2">
      <c r="B63" s="269" t="s">
        <v>347</v>
      </c>
      <c r="I63" s="1789" t="str">
        <f>OHJE!I5</f>
        <v>Palvelun tarjoaa</v>
      </c>
      <c r="J63" s="1789"/>
      <c r="K63" s="1789"/>
    </row>
    <row r="64" spans="2:21" ht="12.75" customHeight="1" x14ac:dyDescent="0.2">
      <c r="B64" s="269" t="str">
        <f>OHJE!G24</f>
        <v>YT22 Toimivan yrityksen tulossuunnitelma</v>
      </c>
      <c r="G64" s="1895" t="str">
        <f>OHJE!H7</f>
        <v>Business Kuopio</v>
      </c>
      <c r="H64" s="1895"/>
      <c r="I64" s="1895"/>
      <c r="J64" s="1895"/>
      <c r="K64" s="1895"/>
      <c r="R64" s="1904" t="str">
        <f>OHJE!G24</f>
        <v>YT22 Toimivan yrityksen tulossuunnitelma</v>
      </c>
      <c r="S64" s="1904"/>
      <c r="T64" s="1904"/>
      <c r="U64" s="1904"/>
    </row>
    <row r="65" spans="2:21" x14ac:dyDescent="0.2">
      <c r="B65" s="1693"/>
      <c r="C65" s="1693"/>
      <c r="D65" s="1693"/>
      <c r="E65" s="1693"/>
      <c r="G65" s="1026"/>
      <c r="H65" s="1026"/>
      <c r="I65" s="1026"/>
      <c r="J65" s="1026"/>
      <c r="K65" s="1026"/>
      <c r="U65" s="158"/>
    </row>
    <row r="66" spans="2:21" x14ac:dyDescent="0.2">
      <c r="M66" s="415"/>
      <c r="N66" s="146"/>
      <c r="O66" s="146"/>
      <c r="P66" s="146"/>
    </row>
    <row r="67" spans="2:21" x14ac:dyDescent="0.2">
      <c r="B67" s="424" t="s">
        <v>336</v>
      </c>
      <c r="M67" s="146"/>
      <c r="N67" s="146"/>
      <c r="O67" s="146"/>
      <c r="P67" s="146"/>
    </row>
    <row r="68" spans="2:21" x14ac:dyDescent="0.2">
      <c r="B68" s="54" t="s">
        <v>337</v>
      </c>
    </row>
    <row r="69" spans="2:21" x14ac:dyDescent="0.2">
      <c r="B69" s="54" t="s">
        <v>338</v>
      </c>
    </row>
    <row r="71" spans="2:21" hidden="1" x14ac:dyDescent="0.2"/>
    <row r="72" spans="2:21" hidden="1" x14ac:dyDescent="0.2">
      <c r="M72" s="1165" t="s">
        <v>654</v>
      </c>
      <c r="N72" s="136"/>
      <c r="O72" s="136"/>
      <c r="P72" s="1169">
        <f>P11</f>
        <v>2021</v>
      </c>
      <c r="Q72" s="1169">
        <f>Q11</f>
        <v>2022</v>
      </c>
      <c r="R72" s="1179" t="s">
        <v>110</v>
      </c>
      <c r="S72" s="1179" t="s">
        <v>98</v>
      </c>
      <c r="T72" s="1179" t="s">
        <v>100</v>
      </c>
      <c r="U72" s="1179" t="s">
        <v>259</v>
      </c>
    </row>
    <row r="73" spans="2:21" hidden="1" x14ac:dyDescent="0.2">
      <c r="M73" s="1166" t="s">
        <v>655</v>
      </c>
      <c r="N73" s="1166"/>
      <c r="O73" s="1166"/>
      <c r="P73" s="1180"/>
      <c r="Q73" s="1180"/>
      <c r="R73" s="1180"/>
      <c r="S73" s="1180"/>
      <c r="T73" s="1180"/>
      <c r="U73" s="1181"/>
    </row>
    <row r="74" spans="2:21" hidden="1" x14ac:dyDescent="0.2">
      <c r="M74" s="1166" t="s">
        <v>656</v>
      </c>
      <c r="N74" s="1166"/>
      <c r="O74" s="1166"/>
      <c r="P74" s="704">
        <f>P20+'2. &amp; 7. T2 TULOSSUUN. '!E24+'2. &amp; 7. T2 TULOSSUUN. '!E25+'2. &amp; 7. T2 TULOSSUUN. '!E27</f>
        <v>0</v>
      </c>
      <c r="Q74" s="704">
        <f>Q20+'2. &amp; 7. T2 TULOSSUUN. '!G24+'2. &amp; 7. T2 TULOSSUUN. '!G25+'2. &amp; 7. T2 TULOSSUUN. '!G27</f>
        <v>0</v>
      </c>
      <c r="R74" s="704">
        <f>R20+'2. &amp; 7. T2 TULOSSUUN. '!I24+'2. &amp; 7. T2 TULOSSUUN. '!I25+'2. &amp; 7. T2 TULOSSUUN. '!I27</f>
        <v>0</v>
      </c>
      <c r="S74" s="704">
        <f>S20+'2. &amp; 7. T2 TULOSSUUN. '!K24+'2. &amp; 7. T2 TULOSSUUN. '!K25+'2. &amp; 7. T2 TULOSSUUN. '!K27</f>
        <v>0</v>
      </c>
      <c r="T74" s="704">
        <f>T20+'2. &amp; 7. T2 TULOSSUUN. '!M24+'2. &amp; 7. T2 TULOSSUUN. '!M25+'2. &amp; 7. T2 TULOSSUUN. '!M27</f>
        <v>0</v>
      </c>
      <c r="U74" s="704">
        <f>U20+'2. &amp; 7. T2 TULOSSUUN. '!O24+'2. &amp; 7. T2 TULOSSUUN. '!O25+'2. &amp; 7. T2 TULOSSUUN. '!O27</f>
        <v>0</v>
      </c>
    </row>
    <row r="75" spans="2:21" hidden="1" x14ac:dyDescent="0.2">
      <c r="M75" s="1166" t="s">
        <v>657</v>
      </c>
      <c r="N75" s="1166"/>
      <c r="O75" s="1166"/>
      <c r="P75" s="704">
        <v>0</v>
      </c>
      <c r="Q75" s="704">
        <f>P76</f>
        <v>0</v>
      </c>
      <c r="R75" s="704">
        <f>Q76</f>
        <v>0</v>
      </c>
      <c r="S75" s="704">
        <f>R76</f>
        <v>0</v>
      </c>
      <c r="T75" s="704">
        <f>S76</f>
        <v>0</v>
      </c>
      <c r="U75" s="704">
        <f>T76</f>
        <v>0</v>
      </c>
    </row>
    <row r="76" spans="2:21" hidden="1" x14ac:dyDescent="0.2">
      <c r="M76" s="1166" t="s">
        <v>658</v>
      </c>
      <c r="N76" s="1166"/>
      <c r="O76" s="1166"/>
      <c r="P76" s="704">
        <f>'3. T3 TASE '!F56</f>
        <v>0</v>
      </c>
      <c r="Q76" s="704">
        <f>'3. T3 TASE '!G56</f>
        <v>0</v>
      </c>
      <c r="R76" s="704">
        <f>'3. T3 TASE '!H56</f>
        <v>0</v>
      </c>
      <c r="S76" s="704">
        <f>'3. T3 TASE '!I56</f>
        <v>0</v>
      </c>
      <c r="T76" s="704">
        <f>'3. T3 TASE '!J56</f>
        <v>0</v>
      </c>
      <c r="U76" s="704">
        <f>'3. T3 TASE '!K56</f>
        <v>0</v>
      </c>
    </row>
    <row r="77" spans="2:21" hidden="1" x14ac:dyDescent="0.2">
      <c r="M77" s="1166" t="s">
        <v>659</v>
      </c>
      <c r="N77" s="1166"/>
      <c r="O77" s="1166"/>
      <c r="P77" s="704">
        <f t="shared" ref="P77:U77" si="10">(P75+P76)/2</f>
        <v>0</v>
      </c>
      <c r="Q77" s="704">
        <f t="shared" si="10"/>
        <v>0</v>
      </c>
      <c r="R77" s="704">
        <f t="shared" si="10"/>
        <v>0</v>
      </c>
      <c r="S77" s="704">
        <f t="shared" si="10"/>
        <v>0</v>
      </c>
      <c r="T77" s="704">
        <f t="shared" si="10"/>
        <v>0</v>
      </c>
      <c r="U77" s="704">
        <f t="shared" si="10"/>
        <v>0</v>
      </c>
    </row>
    <row r="78" spans="2:21" hidden="1" x14ac:dyDescent="0.2">
      <c r="M78" s="136"/>
      <c r="N78" s="136"/>
      <c r="O78" s="136"/>
      <c r="P78" s="704"/>
      <c r="Q78" s="704"/>
      <c r="R78" s="704"/>
      <c r="S78" s="704"/>
      <c r="T78" s="704"/>
      <c r="U78" s="704"/>
    </row>
    <row r="79" spans="2:21" hidden="1" x14ac:dyDescent="0.2">
      <c r="M79" s="1166" t="s">
        <v>660</v>
      </c>
      <c r="N79" s="1166"/>
      <c r="O79" s="1166"/>
      <c r="P79" s="704"/>
      <c r="Q79" s="704">
        <f>P80</f>
        <v>0</v>
      </c>
      <c r="R79" s="704">
        <f>Q80</f>
        <v>0</v>
      </c>
      <c r="S79" s="704">
        <f>R80</f>
        <v>0</v>
      </c>
      <c r="T79" s="704">
        <f>S80</f>
        <v>0</v>
      </c>
      <c r="U79" s="704">
        <f>T80</f>
        <v>0</v>
      </c>
    </row>
    <row r="80" spans="2:21" hidden="1" x14ac:dyDescent="0.2">
      <c r="M80" s="1166" t="s">
        <v>661</v>
      </c>
      <c r="N80" s="1166"/>
      <c r="O80" s="1166"/>
      <c r="P80" s="704">
        <f>'3. T3 TASE '!F67+'3. T3 TASE '!F76+'3. T3 TASE '!F79+'3. T3 TASE '!F83</f>
        <v>0</v>
      </c>
      <c r="Q80" s="704">
        <f>'3. T3 TASE '!G67+'3. T3 TASE '!G76+'3. T3 TASE '!G79+'3. T3 TASE '!G83</f>
        <v>0</v>
      </c>
      <c r="R80" s="704">
        <f>'3. T3 TASE '!H67+'3. T3 TASE '!H76+'3. T3 TASE '!H79+'3. T3 TASE '!H83</f>
        <v>0</v>
      </c>
      <c r="S80" s="704">
        <f>'3. T3 TASE '!I67+'3. T3 TASE '!I76+'3. T3 TASE '!I79+'3. T3 TASE '!I83</f>
        <v>0</v>
      </c>
      <c r="T80" s="704">
        <f>'3. T3 TASE '!J67+'3. T3 TASE '!J76+'3. T3 TASE '!J79+'3. T3 TASE '!J83</f>
        <v>0</v>
      </c>
      <c r="U80" s="704">
        <f>'3. T3 TASE '!K67+'3. T3 TASE '!K76+'3. T3 TASE '!K79+'3. T3 TASE '!K83</f>
        <v>0</v>
      </c>
    </row>
    <row r="81" spans="13:21" hidden="1" x14ac:dyDescent="0.2">
      <c r="M81" s="1166" t="s">
        <v>662</v>
      </c>
      <c r="N81" s="1166"/>
      <c r="O81" s="1166"/>
      <c r="P81" s="704">
        <f t="shared" ref="P81:T81" si="11">(P79+P80)/2</f>
        <v>0</v>
      </c>
      <c r="Q81" s="704">
        <f t="shared" si="11"/>
        <v>0</v>
      </c>
      <c r="R81" s="704">
        <f t="shared" si="11"/>
        <v>0</v>
      </c>
      <c r="S81" s="704">
        <f t="shared" si="11"/>
        <v>0</v>
      </c>
      <c r="T81" s="704">
        <f t="shared" si="11"/>
        <v>0</v>
      </c>
      <c r="U81" s="704">
        <f>(U79+U80)/2</f>
        <v>0</v>
      </c>
    </row>
    <row r="82" spans="13:21" hidden="1" x14ac:dyDescent="0.2">
      <c r="M82" s="1182" t="s">
        <v>663</v>
      </c>
      <c r="N82" s="1182"/>
      <c r="O82" s="1183"/>
      <c r="P82" s="803">
        <f t="shared" ref="P82:U82" si="12">IF(P77&lt;0,P81,P77+P81)</f>
        <v>0</v>
      </c>
      <c r="Q82" s="803">
        <f t="shared" si="12"/>
        <v>0</v>
      </c>
      <c r="R82" s="803">
        <f t="shared" si="12"/>
        <v>0</v>
      </c>
      <c r="S82" s="803">
        <f t="shared" si="12"/>
        <v>0</v>
      </c>
      <c r="T82" s="803">
        <f t="shared" si="12"/>
        <v>0</v>
      </c>
      <c r="U82" s="803">
        <f t="shared" si="12"/>
        <v>0</v>
      </c>
    </row>
    <row r="83" spans="13:21" hidden="1" x14ac:dyDescent="0.2">
      <c r="P83" s="1256"/>
      <c r="Q83" s="1256"/>
      <c r="R83" s="1256"/>
      <c r="S83" s="1256"/>
      <c r="T83" s="1256"/>
      <c r="U83" s="1256"/>
    </row>
    <row r="84" spans="13:21" hidden="1" x14ac:dyDescent="0.2">
      <c r="M84" s="1167" t="s">
        <v>664</v>
      </c>
      <c r="N84" s="1168"/>
      <c r="O84" s="1168"/>
      <c r="P84" s="1257"/>
      <c r="Q84" s="1257"/>
      <c r="R84" s="1257"/>
      <c r="S84" s="1257"/>
      <c r="T84" s="1257"/>
      <c r="U84" s="1257"/>
    </row>
    <row r="85" spans="13:21" hidden="1" x14ac:dyDescent="0.2">
      <c r="M85" s="1188" t="s">
        <v>675</v>
      </c>
      <c r="N85" s="1189"/>
      <c r="O85" s="1189"/>
      <c r="P85" s="1258"/>
      <c r="Q85" s="1258"/>
      <c r="R85" s="1258"/>
      <c r="S85" s="1258"/>
      <c r="T85" s="1258"/>
      <c r="U85" s="1258"/>
    </row>
    <row r="86" spans="13:21" hidden="1" x14ac:dyDescent="0.2">
      <c r="M86" s="1186" t="s">
        <v>665</v>
      </c>
      <c r="N86" s="1186"/>
      <c r="O86" s="1187"/>
      <c r="P86" s="1171">
        <f>P80-'3. T3 TASE '!F96</f>
        <v>0</v>
      </c>
      <c r="Q86" s="1171">
        <f>Q80-'3. T3 TASE '!G96</f>
        <v>0</v>
      </c>
      <c r="R86" s="1171">
        <f>R80-'3. T3 TASE '!H96</f>
        <v>0</v>
      </c>
      <c r="S86" s="1171">
        <f>S80-'3. T3 TASE '!I96</f>
        <v>0</v>
      </c>
      <c r="T86" s="1171">
        <f>T80-'3. T3 TASE '!J96</f>
        <v>0</v>
      </c>
      <c r="U86" s="1171">
        <f>U80-'3. T3 TASE '!K96</f>
        <v>0</v>
      </c>
    </row>
    <row r="87" spans="13:21" hidden="1" x14ac:dyDescent="0.2">
      <c r="M87" s="391" t="s">
        <v>666</v>
      </c>
      <c r="N87" s="1184"/>
      <c r="O87" s="1185"/>
      <c r="P87" s="1171">
        <f>'3. T3 TASE '!F48+'3. T3 TASE '!F49</f>
        <v>0</v>
      </c>
      <c r="Q87" s="1171">
        <f>'3. T3 TASE '!G48+'3. T3 TASE '!G49</f>
        <v>0</v>
      </c>
      <c r="R87" s="1171">
        <f>'3. T3 TASE '!H48+'3. T3 TASE '!H49</f>
        <v>0</v>
      </c>
      <c r="S87" s="1171">
        <f>'3. T3 TASE '!I48+'3. T3 TASE '!I49</f>
        <v>0</v>
      </c>
      <c r="T87" s="1171">
        <f>'3. T3 TASE '!J48+'3. T3 TASE '!J49</f>
        <v>0</v>
      </c>
      <c r="U87" s="1171">
        <f>'3. T3 TASE '!K48+'3. T3 TASE '!K49</f>
        <v>0</v>
      </c>
    </row>
  </sheetData>
  <sheetProtection algorithmName="SHA-512" hashValue="R6X0y/ew2HkXyCII6tm4pXE/m7yjjNh+YdA8EXmC+U8RWQoA2Oq/0lJFoV3AT9n5Rp4usxR1LIa3Kg3F5UHUaQ==" saltValue="goRQu4SE8oJXhqHzgmhtAA==" spinCount="100000" sheet="1" objects="1" scenarios="1"/>
  <mergeCells count="72"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M6:P6"/>
    <mergeCell ref="M4:N4"/>
    <mergeCell ref="R5:U5"/>
    <mergeCell ref="R6:U6"/>
    <mergeCell ref="H5:K5"/>
    <mergeCell ref="H6:K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</mergeCells>
  <conditionalFormatting sqref="P22:U22">
    <cfRule type="containsText" dxfId="52" priority="21" operator="containsText" text="Tyydyttävä">
      <formula>NOT(ISERROR(SEARCH("Tyydyttävä",P22)))</formula>
    </cfRule>
    <cfRule type="containsText" dxfId="51" priority="22" operator="containsText" text="Hyvä">
      <formula>NOT(ISERROR(SEARCH("Hyvä",P22)))</formula>
    </cfRule>
    <cfRule type="containsText" dxfId="50" priority="23" operator="containsText" text="Heikko">
      <formula>NOT(ISERROR(SEARCH("Heikko",P22)))</formula>
    </cfRule>
  </conditionalFormatting>
  <conditionalFormatting sqref="P28:U28">
    <cfRule type="containsText" dxfId="49" priority="18" operator="containsText" text="Tyydyttävä">
      <formula>NOT(ISERROR(SEARCH("Tyydyttävä",P28)))</formula>
    </cfRule>
    <cfRule type="containsText" dxfId="48" priority="19" operator="containsText" text="Hyvä">
      <formula>NOT(ISERROR(SEARCH("Hyvä",P28)))</formula>
    </cfRule>
    <cfRule type="containsText" dxfId="47" priority="20" operator="containsText" text="Heikko">
      <formula>NOT(ISERROR(SEARCH("Heikko",P28)))</formula>
    </cfRule>
  </conditionalFormatting>
  <conditionalFormatting sqref="P30:U30">
    <cfRule type="containsText" dxfId="46" priority="15" operator="containsText" text="Hyvä">
      <formula>NOT(ISERROR(SEARCH("Hyvä",P30)))</formula>
    </cfRule>
    <cfRule type="containsText" dxfId="45" priority="16" operator="containsText" text="Tyydyttävä">
      <formula>NOT(ISERROR(SEARCH("Tyydyttävä",P30)))</formula>
    </cfRule>
    <cfRule type="containsText" dxfId="44" priority="17" operator="containsText" text="Heikko">
      <formula>NOT(ISERROR(SEARCH("Heikko",P30)))</formula>
    </cfRule>
  </conditionalFormatting>
  <conditionalFormatting sqref="Q33:U33">
    <cfRule type="containsText" dxfId="43" priority="12" operator="containsText" text="Hyvä">
      <formula>NOT(ISERROR(SEARCH("Hyvä",Q33)))</formula>
    </cfRule>
    <cfRule type="containsText" dxfId="42" priority="13" operator="containsText" text="Tyydyttävä">
      <formula>NOT(ISERROR(SEARCH("Tyydyttävä",Q33)))</formula>
    </cfRule>
    <cfRule type="containsText" dxfId="41" priority="14" operator="containsText" text="Heikko">
      <formula>NOT(ISERROR(SEARCH("Heikko",Q33)))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43:U43">
    <cfRule type="containsText" dxfId="37" priority="6" operator="containsText" text="Hyvä">
      <formula>NOT(ISERROR(SEARCH("Hyvä",P43)))</formula>
    </cfRule>
    <cfRule type="containsText" dxfId="36" priority="7" operator="containsText" text="Tyydyttävä">
      <formula>NOT(ISERROR(SEARCH("Tyydyttävä",P43)))</formula>
    </cfRule>
    <cfRule type="containsText" dxfId="35" priority="8" operator="containsText" text="Heikko">
      <formula>NOT(ISERROR(SEARCH("Heikko",P43)))</formula>
    </cfRule>
  </conditionalFormatting>
  <conditionalFormatting sqref="P38:U38">
    <cfRule type="containsText" dxfId="34" priority="1" operator="containsText" text="Hyvä">
      <formula>NOT(ISERROR(SEARCH("Hyvä",P38)))</formula>
    </cfRule>
    <cfRule type="containsText" dxfId="33" priority="2" operator="containsText" text="Nettovelaton">
      <formula>NOT(ISERROR(SEARCH("Nettovelaton",P38)))</formula>
    </cfRule>
    <cfRule type="containsText" dxfId="32" priority="5" operator="containsText" text="Heikko">
      <formula>NOT(ISERROR(SEARCH("Heikko",P38)))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F5A0580E1BC67C47B730E932E741D13D" ma:contentTypeVersion="18" ma:contentTypeDescription="Luo uusi asiakirja." ma:contentTypeScope="" ma:versionID="f4569a2a4c3a3066f088da1b9e91df16">
  <xsd:schema xmlns:xsd="http://www.w3.org/2001/XMLSchema" xmlns:xs="http://www.w3.org/2001/XMLSchema" xmlns:p="http://schemas.microsoft.com/office/2006/metadata/properties" xmlns:ns2="01a526ad-c593-49ee-8126-f82dcb57d1e4" xmlns:ns3="6fb23a0e-0d71-472b-abc6-3bebd649b962" targetNamespace="http://schemas.microsoft.com/office/2006/metadata/properties" ma:root="true" ma:fieldsID="6125dfd87f0df5c89433ab22e1e8bf50" ns2:_="" ns3:_="">
    <xsd:import namespace="01a526ad-c593-49ee-8126-f82dcb57d1e4"/>
    <xsd:import namespace="6fb23a0e-0d71-472b-abc6-3bebd649b9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a526ad-c593-49ee-8126-f82dcb57d1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Kuvien tunnisteet" ma:readOnly="false" ma:fieldId="{5cf76f15-5ced-4ddc-b409-7134ff3c332f}" ma:taxonomyMulti="true" ma:sspId="ec504a8c-4d49-408a-b794-b9e70ccdb6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b23a0e-0d71-472b-abc6-3bebd649b962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10f384d7-5fb4-4f59-a843-c42537df5313}" ma:internalName="TaxCatchAll" ma:showField="CatchAllData" ma:web="6fb23a0e-0d71-472b-abc6-3bebd649b9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1a526ad-c593-49ee-8126-f82dcb57d1e4">
      <Terms xmlns="http://schemas.microsoft.com/office/infopath/2007/PartnerControls"/>
    </lcf76f155ced4ddcb4097134ff3c332f>
    <TaxCatchAll xmlns="6fb23a0e-0d71-472b-abc6-3bebd649b962" xsi:nil="true"/>
  </documentManagement>
</p:properties>
</file>

<file path=customXml/itemProps1.xml><?xml version="1.0" encoding="utf-8"?>
<ds:datastoreItem xmlns:ds="http://schemas.openxmlformats.org/officeDocument/2006/customXml" ds:itemID="{6091ADE3-F46D-4FEA-9838-42C04C8F5234}"/>
</file>

<file path=customXml/itemProps2.xml><?xml version="1.0" encoding="utf-8"?>
<ds:datastoreItem xmlns:ds="http://schemas.openxmlformats.org/officeDocument/2006/customXml" ds:itemID="{8DA3C53F-6852-4426-986A-70ECCDE9D69F}"/>
</file>

<file path=customXml/itemProps3.xml><?xml version="1.0" encoding="utf-8"?>
<ds:datastoreItem xmlns:ds="http://schemas.openxmlformats.org/officeDocument/2006/customXml" ds:itemID="{66DAC9BC-FF8F-4867-8C26-94BB00B7D8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3. T3 TASE </vt:lpstr>
      <vt:lpstr>Kaavio</vt:lpstr>
      <vt:lpstr>4. T7 LAINAT </vt:lpstr>
      <vt:lpstr>5. E1 KUSTANNUKSET </vt:lpstr>
      <vt:lpstr>6. E2 LIIKEVAIHTO </vt:lpstr>
      <vt:lpstr>8. T4 RAHOITUSSUUN. </vt:lpstr>
      <vt:lpstr>9. T5 KASSABUDJETTI </vt:lpstr>
      <vt:lpstr>AT T5 Kassa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Jaana Paananen</cp:lastModifiedBy>
  <cp:lastPrinted>2022-12-16T08:21:19Z</cp:lastPrinted>
  <dcterms:created xsi:type="dcterms:W3CDTF">2006-08-01T10:09:48Z</dcterms:created>
  <dcterms:modified xsi:type="dcterms:W3CDTF">2023-02-01T09:28:29Z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0x010100F5A0580E1BC67C47B730E932E741D13D</vt:lpwstr>
  </property>
</Properties>
</file>